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83" i="1" l="1"/>
  <c r="J605" i="1" l="1"/>
  <c r="I605" i="1"/>
  <c r="H605" i="1"/>
  <c r="H593" i="1"/>
  <c r="J593" i="1"/>
  <c r="I593" i="1"/>
  <c r="I565" i="1"/>
  <c r="I564" i="1"/>
  <c r="I563" i="1"/>
  <c r="F534" i="1"/>
  <c r="F533" i="1"/>
  <c r="F532" i="1"/>
  <c r="J529" i="1"/>
  <c r="I529" i="1"/>
  <c r="F529" i="1"/>
  <c r="J528" i="1"/>
  <c r="I528" i="1"/>
  <c r="F528" i="1"/>
  <c r="J527" i="1"/>
  <c r="I527" i="1"/>
  <c r="F527" i="1"/>
  <c r="J524" i="1"/>
  <c r="I524" i="1"/>
  <c r="H524" i="1"/>
  <c r="G524" i="1"/>
  <c r="F524" i="1"/>
  <c r="J523" i="1"/>
  <c r="I523" i="1"/>
  <c r="H523" i="1"/>
  <c r="G523" i="1"/>
  <c r="F523" i="1"/>
  <c r="J522" i="1"/>
  <c r="I522" i="1"/>
  <c r="H522" i="1"/>
  <c r="G522" i="1"/>
  <c r="F522"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E112" i="2" s="1"/>
  <c r="L320" i="1"/>
  <c r="L321" i="1"/>
  <c r="L322" i="1"/>
  <c r="L323" i="1"/>
  <c r="E121" i="2" s="1"/>
  <c r="L324" i="1"/>
  <c r="L325" i="1"/>
  <c r="L326" i="1"/>
  <c r="L327" i="1"/>
  <c r="L334" i="1"/>
  <c r="L335" i="1"/>
  <c r="L336" i="1"/>
  <c r="L261" i="1"/>
  <c r="C131" i="2" s="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79" i="1"/>
  <c r="C57" i="2" s="1"/>
  <c r="F94" i="1"/>
  <c r="C58" i="2" s="1"/>
  <c r="F111" i="1"/>
  <c r="G111" i="1"/>
  <c r="H79" i="1"/>
  <c r="H94" i="1"/>
  <c r="E58" i="2" s="1"/>
  <c r="H111" i="1"/>
  <c r="I111" i="1"/>
  <c r="I112" i="1" s="1"/>
  <c r="J111" i="1"/>
  <c r="F121" i="1"/>
  <c r="F136" i="1"/>
  <c r="G121" i="1"/>
  <c r="G136" i="1"/>
  <c r="H121" i="1"/>
  <c r="H136" i="1"/>
  <c r="I121" i="1"/>
  <c r="I136" i="1"/>
  <c r="J121" i="1"/>
  <c r="J136" i="1"/>
  <c r="J140" i="1" s="1"/>
  <c r="F147" i="1"/>
  <c r="F170" i="1" s="1"/>
  <c r="G147" i="1"/>
  <c r="H147" i="1"/>
  <c r="H170" i="1" s="1"/>
  <c r="I147" i="1"/>
  <c r="I170" i="1" s="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G652" i="1"/>
  <c r="H653" i="1"/>
  <c r="G654" i="1"/>
  <c r="H654" i="1"/>
  <c r="G655" i="1"/>
  <c r="H655" i="1"/>
  <c r="H656" i="1"/>
  <c r="J656" i="1" s="1"/>
  <c r="J652" i="1" l="1"/>
  <c r="J572" i="1"/>
  <c r="C125" i="2"/>
  <c r="D15" i="13"/>
  <c r="C15" i="13" s="1"/>
  <c r="H663" i="1"/>
  <c r="G663" i="1"/>
  <c r="D6" i="13"/>
  <c r="C6" i="13" s="1"/>
  <c r="C112" i="2"/>
  <c r="C110" i="2"/>
  <c r="C121" i="2"/>
  <c r="C120" i="2"/>
  <c r="C13" i="10"/>
  <c r="E111" i="2"/>
  <c r="E125" i="2"/>
  <c r="E124" i="2"/>
  <c r="E123" i="2"/>
  <c r="K339" i="1"/>
  <c r="K353" i="1" s="1"/>
  <c r="A40" i="12"/>
  <c r="C12" i="10"/>
  <c r="H140" i="1"/>
  <c r="F85" i="2"/>
  <c r="G477" i="1"/>
  <c r="G662" i="1"/>
  <c r="J112" i="1"/>
  <c r="G409" i="1"/>
  <c r="H646" i="1" s="1"/>
  <c r="J646" i="1" s="1"/>
  <c r="I409" i="1"/>
  <c r="F409" i="1"/>
  <c r="H644" i="1" s="1"/>
  <c r="J644" i="1" s="1"/>
  <c r="H409" i="1"/>
  <c r="H645" i="1" s="1"/>
  <c r="J645" i="1" s="1"/>
  <c r="G553" i="1"/>
  <c r="E110" i="2"/>
  <c r="J258" i="1"/>
  <c r="J272" i="1" s="1"/>
  <c r="E119" i="2"/>
  <c r="E13" i="13"/>
  <c r="C13" i="13" s="1"/>
  <c r="G339" i="1"/>
  <c r="G353" i="1" s="1"/>
  <c r="H477" i="1"/>
  <c r="H625" i="1" s="1"/>
  <c r="J625" i="1" s="1"/>
  <c r="E131" i="2"/>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C81" i="2" s="1"/>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I663" i="1" l="1"/>
  <c r="G24" i="14"/>
  <c r="H24" i="14" s="1"/>
  <c r="I24" i="14" s="1"/>
  <c r="H649" i="1"/>
  <c r="J649" i="1" s="1"/>
  <c r="E128" i="2"/>
  <c r="F661" i="1"/>
  <c r="F665" i="1" s="1"/>
  <c r="F668" i="1" s="1"/>
  <c r="E115" i="2"/>
  <c r="E51" i="2"/>
  <c r="F194" i="1"/>
  <c r="G628" i="1" s="1"/>
  <c r="J628" i="1" s="1"/>
  <c r="C141" i="2"/>
  <c r="C144" i="2" s="1"/>
  <c r="H661" i="1"/>
  <c r="H665" i="1" s="1"/>
  <c r="H668" i="1" s="1"/>
  <c r="H194" i="1"/>
  <c r="G630" i="1" s="1"/>
  <c r="J630" i="1" s="1"/>
  <c r="L572" i="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<sst xmlns="http://schemas.openxmlformats.org/spreadsheetml/2006/main" count="5587" uniqueCount="1677">
  <si>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</si>
  <si>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</si>
  <si>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</si>
  <si>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</si>
  <si>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</si>
  <si>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</si>
  <si>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</si>
  <si>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</si>
  <si>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</si>
  <si>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</si>
  <si>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</si>
  <si>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</si>
  <si>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</si>
  <si>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</si>
  <si>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</si>
  <si>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</si>
  <si>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</si>
  <si>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</si>
  <si>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</si>
  <si>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</si>
  <si>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</si>
  <si>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</si>
  <si>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</si>
  <si>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</si>
  <si>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</si>
  <si>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</si>
  <si>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</si>
  <si>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</si>
  <si>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</si>
  <si>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</si>
  <si>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</si>
  <si>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</si>
  <si>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</si>
  <si>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</si>
  <si>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</si>
  <si>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</si>
  <si>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</si>
  <si>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</si>
  <si>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</si>
  <si>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</si>
  <si>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</si>
  <si>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</si>
  <si>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</si>
  <si>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</si>
  <si>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</si>
  <si>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</si>
  <si>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</si>
  <si>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</si>
  <si>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</si>
  <si>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</si>
  <si>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</si>
  <si>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</si>
  <si>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</si>
  <si>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</si>
  <si>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</si>
  <si>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</si>
  <si>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</si>
  <si>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</si>
  <si>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</si>
  <si>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</si>
  <si>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</si>
  <si>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</si>
  <si>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</si>
  <si>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</si>
  <si>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</si>
  <si>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</si>
  <si>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</si>
  <si>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</si>
  <si>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</si>
  <si>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</si>
  <si>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</si>
  <si>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</si>
  <si>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</si>
  <si>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</si>
  <si>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</si>
  <si>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</si>
  <si>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</si>
  <si>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</si>
  <si>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</si>
  <si>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</si>
  <si>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</si>
  <si>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</si>
  <si>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</si>
  <si>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</si>
  <si>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</si>
  <si>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</si>
  <si>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</si>
  <si>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</si>
  <si>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</si>
  <si>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</si>
  <si>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</si>
  <si>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</si>
  <si>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</si>
  <si>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</si>
  <si>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</si>
  <si>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</si>
  <si>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</si>
  <si>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</si>
  <si>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</si>
  <si>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</si>
  <si>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</si>
  <si>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</si>
  <si>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</si>
  <si>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</si>
  <si>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</si>
  <si>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</si>
  <si>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</si>
  <si>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</si>
  <si>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</si>
  <si>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</si>
  <si>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</si>
  <si>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</si>
  <si>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</si>
  <si>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</si>
  <si>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</si>
  <si>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</si>
  <si>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</si>
  <si>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</si>
  <si>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</si>
  <si>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</si>
  <si>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</si>
  <si>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</si>
  <si>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</si>
  <si>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</si>
  <si>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</si>
  <si>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</si>
  <si>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</si>
  <si>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</si>
  <si>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</si>
  <si>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</si>
  <si>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</si>
  <si>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</si>
  <si>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</si>
  <si>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</si>
  <si>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</si>
  <si>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</si>
  <si>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</si>
  <si>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</si>
  <si>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</si>
  <si>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</si>
  <si>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</si>
  <si>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</si>
  <si>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</si>
  <si>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</si>
  <si>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</si>
  <si>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</si>
  <si>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</si>
  <si>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</si>
  <si>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</si>
  <si>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</si>
  <si>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</si>
  <si>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</si>
  <si>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</si>
  <si>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</si>
  <si>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</si>
  <si>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</si>
  <si>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</si>
  <si>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</si>
  <si>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</si>
  <si>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</si>
  <si>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</si>
  <si>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</si>
  <si>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</si>
  <si>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</si>
  <si>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</si>
  <si>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</si>
  <si>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</si>
  <si>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</si>
  <si>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</si>
  <si>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</si>
  <si>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</si>
  <si>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</si>
  <si>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</si>
  <si>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</si>
  <si>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</si>
  <si>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</si>
  <si>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</si>
  <si>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</si>
  <si>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</si>
  <si>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</si>
  <si>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</si>
  <si>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</si>
  <si>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</si>
  <si>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</si>
  <si>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</si>
  <si>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</si>
  <si>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</si>
  <si>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</si>
  <si>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</si>
  <si>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</si>
  <si>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</si>
  <si>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</si>
  <si>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</si>
  <si>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</si>
  <si>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</si>
  <si>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</si>
  <si>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</si>
  <si>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</si>
  <si>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</si>
  <si>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</si>
  <si>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</si>
  <si>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</si>
  <si>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</si>
  <si>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</si>
  <si>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</si>
  <si>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</si>
  <si>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</si>
  <si>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</si>
  <si>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</si>
  <si>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</si>
  <si>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</si>
  <si>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</si>
  <si>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</si>
  <si>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</si>
  <si>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</si>
  <si>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</si>
  <si>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</si>
  <si>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</si>
  <si>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</si>
  <si>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</si>
  <si>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</si>
  <si>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</si>
  <si>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</si>
  <si>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</si>
  <si>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</si>
  <si>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</si>
  <si>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</si>
  <si>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</si>
  <si>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</si>
  <si>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</si>
  <si>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</si>
  <si>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</si>
  <si>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</si>
  <si>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</si>
  <si>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</si>
  <si>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</si>
  <si>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</si>
  <si>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</si>
  <si>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</si>
  <si>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</si>
  <si>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</si>
  <si>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</si>
  <si>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</si>
  <si>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</si>
  <si>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</si>
  <si>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</si>
  <si>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</si>
  <si>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</si>
  <si>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</si>
  <si>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</si>
  <si>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</si>
  <si>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</si>
  <si>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</si>
  <si>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</si>
  <si>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</si>
  <si>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</si>
  <si>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</si>
  <si>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</si>
  <si>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</si>
  <si>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</si>
  <si>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</si>
  <si>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</si>
  <si>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</si>
  <si>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</si>
  <si>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</si>
  <si>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</si>
  <si>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</si>
  <si>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</si>
  <si>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</si>
  <si>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</si>
  <si>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</si>
  <si>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</si>
  <si>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</si>
  <si>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</si>
  <si>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</si>
  <si>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</si>
  <si>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</si>
  <si>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</si>
  <si>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</si>
  <si>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</si>
  <si>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</si>
  <si>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</si>
  <si>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</si>
  <si>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</si>
  <si>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</si>
  <si>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</si>
  <si>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</si>
  <si>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</si>
  <si>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</si>
  <si>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</si>
  <si>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</si>
  <si>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</si>
  <si>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</si>
  <si>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</si>
  <si>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</si>
  <si>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</si>
  <si>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</si>
  <si>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</si>
  <si>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</si>
  <si>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</si>
  <si>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</si>
  <si>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</si>
  <si>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</si>
  <si>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</si>
  <si>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</si>
  <si>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</si>
  <si>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</si>
  <si>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</si>
  <si>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</si>
  <si>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</si>
  <si>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</si>
  <si>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</si>
  <si>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</si>
  <si>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</si>
  <si>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</si>
  <si>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</si>
  <si>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</si>
  <si>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</si>
  <si>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</si>
  <si>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</si>
  <si>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</si>
  <si>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</si>
  <si>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</si>
  <si>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</si>
  <si>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</si>
  <si>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</si>
  <si>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</si>
  <si>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</si>
  <si>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</si>
  <si>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</si>
  <si>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</si>
  <si>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</si>
  <si>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</si>
  <si>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</si>
  <si>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</si>
  <si>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</si>
  <si>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</si>
  <si>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</si>
  <si>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</si>
  <si>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</si>
  <si>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</si>
  <si>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</si>
  <si>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</si>
  <si>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</si>
  <si>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</si>
  <si>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</si>
  <si>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</si>
  <si>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</si>
  <si>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</si>
  <si>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</si>
  <si>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</si>
  <si>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</si>
  <si>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</si>
  <si>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</si>
  <si>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</si>
  <si>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</si>
  <si>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</si>
  <si>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</si>
  <si>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</si>
  <si>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</si>
  <si>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</si>
  <si>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</si>
  <si>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</si>
  <si>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</si>
  <si>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</si>
  <si>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</si>
  <si>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</si>
  <si>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</si>
  <si>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</si>
  <si>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</si>
  <si>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</si>
  <si>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</si>
  <si>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</si>
  <si>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</si>
  <si>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</si>
  <si>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</si>
  <si>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</si>
  <si>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</si>
  <si>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</si>
  <si>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</si>
  <si>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</si>
  <si>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</si>
  <si>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</si>
  <si>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</si>
  <si>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</si>
  <si>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</si>
  <si>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</si>
  <si>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</si>
  <si>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</si>
  <si>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</si>
  <si>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</si>
  <si>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</si>
  <si>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</si>
  <si>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</si>
  <si>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</si>
  <si>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</si>
  <si>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</si>
  <si>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</si>
  <si>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</si>
  <si>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</si>
  <si>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</si>
  <si>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</si>
  <si>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</si>
  <si>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</si>
  <si>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</si>
  <si>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</si>
  <si>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</si>
  <si>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</si>
  <si>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</si>
  <si>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</si>
  <si>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</si>
  <si>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</si>
  <si>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</si>
  <si>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</si>
  <si>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</si>
  <si>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</si>
  <si>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</si>
  <si>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</si>
  <si>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</si>
  <si>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</si>
  <si>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</si>
  <si>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</si>
  <si>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</si>
  <si>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</si>
  <si>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</si>
  <si>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</si>
  <si>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</si>
  <si>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</si>
  <si>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</si>
  <si>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</si>
  <si>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</si>
  <si>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</si>
  <si>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</si>
  <si>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</si>
  <si>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</si>
  <si>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</si>
  <si>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</si>
  <si>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</si>
  <si>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</si>
  <si>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</si>
  <si>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</si>
  <si>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</si>
  <si>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</si>
  <si>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</si>
  <si>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</si>
  <si>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</si>
  <si>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</si>
  <si>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</si>
  <si>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</si>
  <si>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</si>
  <si>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</si>
  <si>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</si>
  <si>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</si>
  <si>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</si>
  <si>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</si>
  <si>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</si>
  <si>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</si>
  <si>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</si>
  <si>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</si>
  <si>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</si>
  <si>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</si>
  <si>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</si>
  <si>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</si>
  <si>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</si>
  <si>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</si>
  <si>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</si>
  <si>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</si>
  <si>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</si>
  <si>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</si>
  <si>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</si>
  <si>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</si>
  <si>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</si>
  <si>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</si>
  <si>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</si>
  <si>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</si>
  <si>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</si>
  <si>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</si>
  <si>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</si>
  <si>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</si>
  <si>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</si>
  <si>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</si>
  <si>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</si>
  <si>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</si>
  <si>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</si>
  <si>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</si>
  <si>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</si>
  <si>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</si>
  <si>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</si>
  <si>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</si>
  <si>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</si>
  <si>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</si>
  <si>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</si>
  <si>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</si>
  <si>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</si>
  <si>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</si>
  <si>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</si>
  <si>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</si>
  <si>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</si>
  <si>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</si>
  <si>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</si>
  <si>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</si>
  <si>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</si>
  <si>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</si>
  <si>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</si>
  <si>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</si>
  <si>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</si>
  <si>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</si>
  <si>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</si>
  <si>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</si>
  <si>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</si>
  <si>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</si>
  <si>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</si>
  <si>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</si>
  <si>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</si>
  <si>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</si>
  <si>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</si>
  <si>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</si>
  <si>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</si>
  <si>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</si>
  <si>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</si>
  <si>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</si>
  <si>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</si>
  <si>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</si>
  <si>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</si>
  <si>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</si>
  <si>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</si>
  <si>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</si>
  <si>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</si>
  <si>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</si>
  <si>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</si>
  <si>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</si>
  <si>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</si>
  <si>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</si>
  <si>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</si>
  <si>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</si>
  <si>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</si>
  <si>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</si>
  <si>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</si>
  <si>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</si>
  <si>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</si>
  <si>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</si>
  <si>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</si>
  <si>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</si>
  <si>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</si>
  <si>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</si>
  <si>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</si>
  <si>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</si>
  <si>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</si>
  <si>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</si>
  <si>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</si>
  <si>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</si>
  <si>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</si>
  <si>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</si>
  <si>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</si>
  <si>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</si>
  <si>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</si>
  <si>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</si>
  <si>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</si>
  <si>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</si>
  <si>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</si>
  <si>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</si>
  <si>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</si>
  <si>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</si>
  <si>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</si>
  <si>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</si>
  <si>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</si>
  <si>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</si>
  <si>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</si>
  <si>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</si>
  <si>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</si>
  <si>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</si>
  <si>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</si>
  <si>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</si>
  <si>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</si>
  <si>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</si>
  <si>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</si>
  <si>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</si>
  <si>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</si>
  <si>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</si>
  <si>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</si>
  <si>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</si>
  <si>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</si>
  <si>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</si>
  <si>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</si>
  <si>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</si>
  <si>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</si>
  <si>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</si>
  <si>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</si>
  <si>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</si>
  <si>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</si>
  <si>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</si>
  <si>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</si>
  <si>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</si>
  <si>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</si>
  <si>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</si>
  <si>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</si>
  <si>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</si>
  <si>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</si>
  <si>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</si>
  <si>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</si>
  <si>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</si>
  <si>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</si>
  <si>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</si>
  <si>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</si>
  <si>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</si>
  <si>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</si>
  <si>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</si>
  <si>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</si>
  <si>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</si>
  <si>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</si>
  <si>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</si>
  <si>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</si>
  <si>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</si>
  <si>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</si>
  <si>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</si>
  <si>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</si>
  <si>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</si>
  <si>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</si>
  <si>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</si>
  <si>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</si>
  <si>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</si>
  <si>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</si>
  <si>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</si>
  <si>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</si>
  <si>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</si>
  <si>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</si>
  <si>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</si>
  <si>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</si>
  <si>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</si>
  <si>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</si>
  <si>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</si>
  <si>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</si>
  <si>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</si>
  <si>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</si>
  <si>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</si>
  <si>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</si>
  <si>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</si>
  <si>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</si>
  <si>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</si>
  <si>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</si>
  <si>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</si>
  <si>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</si>
  <si>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</si>
  <si>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</si>
  <si>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</si>
  <si>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</si>
  <si>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</si>
  <si>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</si>
  <si>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</si>
  <si>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</si>
  <si>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</si>
  <si>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</si>
  <si>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</si>
  <si>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</si>
  <si>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</si>
  <si>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</si>
  <si>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</si>
  <si>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</si>
  <si>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</si>
  <si>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</si>
  <si>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</si>
  <si>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</si>
  <si>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</si>
  <si>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</si>
  <si>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</si>
  <si>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</si>
  <si>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</si>
  <si>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</si>
  <si>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</si>
  <si>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</si>
  <si>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</si>
  <si>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</si>
  <si>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</si>
  <si>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</si>
  <si>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</si>
  <si>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</si>
  <si>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</si>
  <si>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</si>
  <si>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</si>
  <si>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</si>
  <si>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</si>
  <si>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</si>
  <si>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</si>
  <si>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</si>
  <si>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</si>
  <si>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</si>
  <si>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</si>
  <si>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</si>
  <si>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</si>
  <si>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</si>
  <si>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</si>
  <si>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</si>
  <si>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</si>
  <si>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</si>
  <si>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</si>
  <si>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</si>
  <si>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</si>
  <si>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</si>
  <si>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</si>
  <si>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</si>
  <si>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</si>
  <si>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</si>
  <si>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</si>
  <si>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</si>
  <si>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</si>
  <si>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</si>
  <si>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</si>
  <si>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</si>
  <si>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</si>
  <si>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</si>
  <si>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</si>
  <si>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</si>
  <si>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</si>
  <si>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</si>
  <si>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</si>
  <si>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</si>
  <si>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</si>
  <si>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</si>
  <si>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</si>
  <si>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</si>
  <si>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</si>
  <si>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</si>
  <si>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</si>
  <si>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</si>
  <si>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</si>
  <si>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</si>
  <si>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</si>
  <si>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</si>
  <si>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</si>
  <si>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</si>
  <si>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</si>
  <si>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</si>
  <si>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</si>
  <si>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</si>
  <si>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</si>
  <si>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</si>
  <si>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</si>
  <si>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</si>
  <si>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</si>
  <si>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</si>
  <si>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</si>
  <si>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</si>
  <si>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</si>
  <si>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</si>
  <si>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</si>
  <si>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</si>
  <si>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</si>
  <si>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</si>
  <si>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</si>
  <si>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</si>
  <si>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</si>
  <si>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</si>
  <si>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</si>
  <si>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</si>
  <si>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</si>
  <si>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</si>
  <si>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</si>
  <si>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</si>
  <si>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</si>
  <si>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</si>
  <si>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</si>
  <si>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</si>
  <si>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</si>
  <si>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</si>
  <si>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</si>
  <si>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</si>
  <si>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</si>
  <si>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</si>
  <si>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</si>
  <si>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</si>
  <si>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</si>
  <si>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</si>
  <si>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</si>
  <si>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</si>
  <si>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</si>
  <si>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</si>
  <si>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</si>
  <si>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</si>
  <si>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</si>
  <si>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</si>
  <si>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</si>
  <si>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</si>
  <si>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</si>
  <si>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</si>
  <si>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</si>
  <si>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</si>
  <si>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</si>
  <si>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</si>
  <si>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</si>
  <si>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</si>
  <si>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</si>
  <si>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</si>
  <si>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</si>
  <si>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</si>
  <si>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</si>
  <si>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</si>
  <si>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</si>
  <si>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</si>
  <si>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</si>
  <si>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</si>
  <si>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</si>
  <si>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</si>
  <si>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</si>
  <si>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</si>
  <si>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</si>
  <si>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</si>
  <si>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</si>
  <si>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</si>
  <si>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</si>
  <si>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</si>
  <si>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</si>
  <si>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</si>
  <si>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</si>
  <si>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</si>
  <si>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</si>
  <si>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</si>
  <si>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</si>
  <si>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</si>
  <si>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</si>
  <si>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</si>
  <si>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</si>
  <si>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</si>
  <si>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</si>
  <si>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</si>
  <si>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</si>
  <si>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</si>
  <si>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</si>
  <si>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</si>
  <si>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</si>
  <si>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</si>
  <si>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</si>
  <si>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</si>
  <si>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</si>
  <si>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</si>
  <si>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</si>
  <si>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</si>
  <si>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</si>
  <si>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</si>
  <si>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</si>
  <si>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</si>
  <si>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</si>
  <si>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</si>
  <si>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</si>
  <si>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</si>
  <si>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</si>
  <si>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</si>
  <si>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</si>
  <si>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</si>
  <si>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</si>
  <si>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</si>
  <si>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</si>
  <si>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</si>
  <si>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</si>
  <si>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</si>
  <si>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</si>
  <si>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</si>
  <si>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</si>
  <si>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</si>
  <si>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</si>
  <si>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</si>
  <si>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</si>
  <si>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</si>
  <si>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</si>
  <si>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</si>
  <si>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</si>
  <si>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</si>
  <si>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</si>
  <si>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</si>
  <si>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</si>
  <si>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</si>
  <si>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</si>
  <si>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</si>
  <si>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</si>
  <si>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</si>
  <si>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</si>
  <si>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</si>
  <si>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</si>
  <si>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</si>
  <si>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</si>
  <si>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</si>
  <si>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</si>
  <si>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</si>
  <si>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</si>
  <si>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</si>
  <si>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</si>
  <si>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</si>
  <si>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</si>
  <si>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</si>
  <si>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</si>
  <si>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</si>
  <si>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</si>
  <si>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</si>
  <si>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</si>
  <si>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</si>
  <si>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</si>
  <si>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</si>
  <si>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</si>
  <si>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</si>
  <si>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</si>
  <si>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</si>
  <si>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</si>
  <si>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</si>
  <si>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</si>
  <si>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</si>
  <si>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</si>
  <si>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</si>
  <si>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</si>
  <si>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</si>
  <si>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</si>
  <si>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</si>
  <si>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</si>
  <si>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</si>
  <si>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</si>
  <si>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</si>
  <si>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</si>
  <si>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</si>
  <si>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</si>
  <si>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</si>
  <si>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</si>
  <si>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</si>
  <si>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</si>
  <si>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</si>
  <si>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</si>
  <si>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</si>
  <si>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</si>
  <si>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</si>
  <si>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</si>
  <si>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</si>
  <si>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</si>
  <si>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</si>
  <si>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</si>
  <si>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</si>
  <si>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</si>
  <si>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</si>
  <si>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</si>
  <si>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</si>
  <si>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</si>
  <si>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</si>
  <si>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</si>
  <si>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</si>
  <si>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</si>
  <si>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</si>
  <si>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</si>
  <si>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</si>
  <si>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</si>
  <si>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</si>
  <si>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</si>
  <si>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</si>
  <si>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</si>
  <si>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</si>
  <si>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</si>
  <si>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</si>
  <si>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</si>
  <si>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</si>
  <si>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</si>
  <si>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</si>
  <si>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</si>
  <si>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</si>
  <si>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</si>
  <si>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</si>
  <si>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</si>
  <si>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</si>
  <si>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</si>
  <si>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</si>
  <si>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</si>
  <si>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</si>
  <si>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</si>
  <si>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</si>
  <si>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</si>
  <si>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</si>
  <si>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</si>
  <si>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</si>
  <si>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</si>
  <si>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</si>
  <si>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</si>
  <si>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</si>
  <si>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</si>
  <si>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</si>
  <si>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</si>
  <si>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</si>
  <si>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</si>
  <si>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</si>
  <si>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</si>
  <si>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</si>
  <si>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</si>
  <si>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</si>
  <si>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</si>
  <si>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</si>
  <si>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</si>
  <si>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</si>
  <si>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</si>
  <si>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</si>
  <si>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</si>
  <si>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</si>
  <si>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</si>
  <si>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</si>
  <si>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</si>
  <si>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</si>
  <si>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</si>
  <si>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</si>
  <si>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</si>
  <si>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</si>
  <si>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</si>
  <si>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</si>
  <si>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</si>
  <si>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</si>
  <si>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</si>
  <si>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</si>
  <si>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</si>
  <si>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</si>
  <si>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</si>
  <si>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</si>
  <si>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</si>
  <si>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</si>
  <si>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</si>
  <si>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</si>
  <si>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</si>
  <si>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</si>
  <si>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</si>
  <si>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</si>
  <si>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</si>
  <si>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</si>
  <si>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</si>
  <si>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</si>
  <si>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</si>
  <si>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</si>
  <si>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</si>
  <si>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</si>
  <si>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</si>
  <si>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</si>
  <si>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</si>
  <si>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</si>
  <si>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</si>
  <si>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</si>
  <si>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</si>
  <si>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</si>
  <si>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</si>
  <si>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</si>
  <si>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</si>
  <si>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</si>
  <si>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</si>
  <si>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</si>
  <si>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</si>
  <si>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</si>
  <si>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</si>
  <si>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</si>
  <si>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</si>
  <si>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</si>
  <si>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</si>
  <si>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</si>
  <si>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</si>
  <si>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</si>
  <si>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</si>
  <si>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</si>
  <si>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</si>
  <si>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</si>
  <si>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</si>
  <si>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</si>
  <si>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</si>
  <si>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</si>
  <si>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</si>
  <si>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</si>
  <si>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</si>
  <si>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</si>
  <si>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</si>
  <si>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</si>
  <si>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</si>
  <si>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</si>
  <si>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</si>
  <si>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</si>
  <si>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</si>
  <si>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</si>
  <si>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</si>
  <si>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</si>
  <si>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</si>
  <si>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</si>
  <si>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</si>
  <si>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</si>
  <si>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</si>
  <si>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</si>
  <si>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</si>
  <si>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</si>
  <si>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</si>
  <si>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</si>
  <si>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</si>
  <si>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</si>
  <si>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</si>
  <si>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</si>
  <si>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</si>
  <si>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</si>
  <si>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</si>
  <si>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</si>
  <si>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</si>
  <si>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</si>
  <si>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</si>
  <si>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</si>
  <si>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</si>
  <si>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</si>
  <si>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</si>
  <si>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</si>
  <si>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</si>
  <si>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</si>
  <si>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</si>
  <si>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</si>
  <si>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</si>
  <si>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</si>
  <si>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</si>
  <si>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</si>
  <si>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</si>
  <si>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</si>
  <si>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</si>
  <si>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</si>
  <si>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</si>
  <si>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</si>
  <si>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</si>
  <si>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</si>
  <si>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</si>
  <si>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</si>
  <si>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</si>
  <si>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</si>
  <si>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</si>
  <si>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</si>
  <si>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</si>
  <si>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</si>
  <si>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</si>
  <si>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</si>
  <si>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</si>
  <si>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</si>
  <si>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</si>
  <si>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</si>
  <si>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</si>
  <si>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</si>
  <si>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</si>
  <si>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</si>
  <si>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</si>
  <si>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</si>
  <si>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</si>
  <si>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</si>
  <si>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</si>
  <si>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</si>
  <si>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</si>
  <si>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</si>
  <si>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</si>
  <si>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</si>
  <si>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</si>
  <si>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</si>
  <si>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</si>
  <si>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</si>
  <si>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</si>
  <si>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</si>
  <si>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</si>
  <si>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</si>
  <si>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</si>
  <si>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</si>
  <si>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</si>
  <si>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</si>
  <si>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</si>
  <si>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</si>
  <si>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</si>
  <si>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</si>
  <si>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</si>
  <si>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</si>
  <si>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</si>
  <si>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</si>
  <si>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</si>
  <si>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</si>
  <si>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</si>
  <si>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</si>
  <si>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</si>
  <si>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</si>
  <si>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</si>
  <si>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</si>
  <si>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</si>
  <si>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</si>
  <si>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</si>
  <si>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</si>
  <si>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</si>
  <si>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</si>
  <si>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</si>
  <si>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</si>
  <si>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</si>
  <si>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</si>
  <si>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</si>
  <si>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</si>
  <si>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</si>
  <si>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</si>
  <si>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</si>
  <si>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</si>
  <si>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</si>
  <si>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</si>
  <si>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</si>
  <si>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</si>
  <si>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</si>
  <si>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</si>
  <si>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</si>
  <si>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</si>
  <si>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</si>
  <si>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</si>
  <si>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</si>
  <si>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</si>
  <si>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</si>
  <si>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</si>
  <si>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</si>
  <si>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</si>
  <si>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</si>
  <si>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</si>
  <si>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</si>
  <si>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</si>
  <si>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</si>
  <si>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</si>
  <si>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</si>
  <si>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</si>
  <si>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</si>
  <si>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</si>
  <si>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</si>
  <si>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</si>
  <si>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</si>
  <si>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</si>
  <si>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</si>
  <si>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</si>
  <si>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</si>
  <si>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</si>
  <si>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</si>
  <si>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</si>
  <si>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</si>
  <si>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</si>
  <si>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</si>
  <si>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</si>
  <si>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</si>
  <si>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</si>
  <si>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</si>
  <si>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</si>
  <si>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</si>
  <si>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</si>
  <si>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</si>
  <si>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</si>
  <si>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</si>
  <si>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</si>
  <si>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</si>
  <si>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</si>
  <si>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</si>
  <si>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</si>
  <si>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</si>
  <si>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</si>
  <si>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</si>
  <si>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</si>
  <si>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</si>
  <si>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</si>
  <si>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</si>
  <si>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</si>
  <si>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</si>
  <si>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</si>
  <si>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</si>
  <si>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</si>
  <si>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</si>
  <si>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</si>
  <si>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</si>
  <si>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</si>
  <si>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</si>
  <si>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</si>
  <si>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</si>
  <si>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</si>
  <si>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</si>
  <si>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</si>
  <si>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</si>
  <si>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</si>
  <si>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</si>
  <si>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</si>
  <si>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</si>
  <si>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</si>
  <si>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</si>
  <si>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</si>
  <si>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</si>
  <si>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</si>
  <si>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</si>
  <si>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</si>
  <si>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</si>
  <si>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</si>
  <si>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</si>
  <si>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</si>
  <si>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</si>
  <si>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</si>
  <si>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</si>
  <si>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</si>
  <si>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</si>
  <si>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</si>
  <si>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</si>
  <si>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</si>
  <si>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</si>
  <si>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</si>
  <si>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</si>
  <si>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</si>
  <si>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</si>
  <si>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</si>
  <si>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</si>
  <si>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</si>
  <si>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</si>
  <si>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</si>
  <si>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</si>
  <si>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</si>
  <si>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</si>
  <si>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</si>
  <si>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</si>
  <si>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</si>
  <si>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</si>
  <si>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</si>
  <si>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</si>
  <si>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</si>
  <si>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</si>
  <si>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</si>
  <si>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</si>
  <si>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</si>
  <si>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</si>
  <si>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</si>
  <si>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</si>
  <si>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</si>
  <si>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</si>
  <si>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</si>
  <si>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</si>
  <si>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</si>
  <si>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</si>
  <si>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</si>
  <si>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</si>
  <si>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</si>
  <si>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</si>
  <si>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</si>
  <si>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</si>
  <si>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</si>
  <si>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</si>
  <si>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</si>
  <si>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</si>
  <si>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</si>
  <si>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</si>
  <si>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</si>
  <si>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</si>
  <si>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</si>
  <si>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</si>
  <si>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</si>
  <si>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</si>
  <si>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</si>
  <si>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</si>
  <si>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</si>
  <si>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</si>
  <si>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</si>
  <si>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</si>
  <si>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</si>
  <si>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</si>
  <si>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</si>
  <si>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</si>
  <si>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</si>
  <si>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</si>
  <si>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</si>
  <si>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</si>
  <si>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</si>
  <si>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</si>
  <si>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</si>
  <si>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</si>
  <si>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</si>
  <si>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</si>
  <si>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</si>
  <si>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</si>
  <si>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</si>
  <si>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</si>
  <si>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</si>
  <si>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</si>
  <si>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</si>
  <si>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</si>
  <si>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</si>
  <si>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</si>
  <si>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</si>
  <si>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</si>
  <si>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</si>
  <si>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</si>
  <si>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</si>
  <si>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</si>
  <si>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</si>
  <si>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</si>
  <si>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</si>
  <si>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</si>
  <si>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</si>
  <si>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</si>
  <si>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</si>
  <si>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</si>
  <si>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</si>
  <si>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</si>
  <si>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</si>
  <si>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</si>
  <si>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</si>
  <si>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</si>
  <si>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</si>
  <si>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</si>
  <si>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</si>
  <si>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</si>
  <si>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</si>
  <si>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</si>
  <si>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</si>
  <si>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</si>
  <si>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</si>
  <si>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</si>
  <si>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</si>
  <si>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</si>
  <si>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</si>
  <si>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</si>
  <si>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</si>
  <si>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</si>
  <si>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</si>
  <si>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</si>
  <si>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</si>
  <si>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</si>
  <si>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</si>
  <si>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</si>
  <si>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</si>
  <si>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</si>
  <si>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</si>
  <si>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</si>
  <si>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</si>
  <si>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</si>
  <si>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</si>
  <si>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</si>
  <si>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</si>
  <si>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</si>
  <si>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</si>
  <si>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</si>
  <si>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</si>
  <si>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</si>
  <si>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</si>
  <si>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</si>
  <si>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</si>
  <si>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</si>
  <si>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</si>
  <si>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</si>
  <si>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</si>
  <si>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</si>
  <si>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</si>
  <si>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</si>
  <si>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</si>
  <si>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</si>
  <si>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</si>
  <si>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</si>
  <si>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</si>
  <si>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</si>
  <si>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</si>
  <si>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</si>
  <si>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</si>
  <si>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</si>
  <si>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</si>
  <si>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</si>
  <si>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</si>
  <si>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</si>
  <si>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</si>
  <si>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</si>
  <si>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</si>
  <si>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</si>
  <si>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</si>
  <si>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</si>
  <si>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</si>
  <si>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</si>
  <si>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</si>
  <si>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</si>
  <si>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</si>
  <si>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</si>
  <si>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</si>
  <si>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</si>
  <si>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</si>
  <si>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</si>
  <si>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</si>
  <si>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</si>
  <si>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</si>
  <si>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</si>
  <si>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</si>
  <si>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</si>
  <si>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</si>
  <si>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</si>
  <si>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</si>
  <si>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</si>
  <si>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</si>
  <si>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</si>
  <si>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</si>
  <si>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</si>
  <si>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</si>
  <si>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</si>
  <si>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</si>
  <si>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</si>
  <si>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</si>
  <si>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</si>
  <si>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</si>
  <si>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</si>
  <si>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</si>
  <si>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</si>
  <si>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</si>
  <si>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</si>
  <si>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</si>
  <si>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</si>
  <si>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</si>
  <si>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</si>
  <si>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</si>
  <si>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</si>
  <si>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</si>
  <si>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</si>
  <si>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</si>
  <si>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</si>
  <si>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</si>
  <si>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</si>
  <si>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</si>
  <si>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</si>
  <si>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</si>
  <si>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</si>
  <si>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</si>
  <si>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</si>
  <si>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</si>
  <si>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</si>
  <si>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</si>
  <si>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</si>
  <si>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</si>
  <si>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</si>
  <si>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</si>
  <si>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</si>
  <si>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</si>
  <si>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</si>
  <si>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</si>
  <si>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</si>
  <si>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</si>
  <si>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</si>
  <si>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</si>
  <si>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</si>
  <si>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</si>
  <si>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</si>
  <si>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</si>
  <si>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</si>
  <si>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</si>
  <si>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</si>
  <si>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</si>
  <si>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</si>
  <si>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</si>
  <si>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</si>
  <si>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</si>
  <si>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</si>
  <si>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</si>
  <si>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</si>
  <si>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</si>
  <si>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</si>
  <si>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</si>
  <si>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</si>
  <si>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</si>
  <si>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</si>
  <si>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</si>
  <si>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</si>
  <si>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</si>
  <si>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</si>
  <si>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</si>
  <si>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</si>
  <si>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</si>
  <si>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</si>
  <si>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</si>
  <si>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</si>
  <si>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</si>
  <si>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</si>
  <si>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</si>
  <si>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</si>
  <si>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</si>
  <si>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</si>
  <si>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</si>
  <si>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</si>
  <si>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</si>
  <si>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</si>
  <si>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</si>
  <si>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</si>
  <si>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</si>
  <si>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</si>
  <si>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</si>
  <si>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</si>
  <si>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</si>
  <si>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</si>
  <si>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</si>
  <si>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</si>
  <si>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</si>
  <si>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</si>
  <si>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</si>
  <si>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</si>
  <si>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</si>
  <si>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</si>
  <si>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</si>
  <si>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</si>
  <si>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</si>
  <si>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</si>
  <si>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</si>
  <si>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</si>
  <si>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</si>
  <si>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</si>
  <si>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</si>
  <si>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</si>
  <si>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</si>
  <si>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</si>
  <si>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</si>
  <si>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</si>
  <si>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</si>
  <si>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</si>
  <si>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</si>
  <si>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</si>
  <si>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</si>
  <si>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</si>
  <si>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</si>
  <si>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</si>
  <si>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</si>
  <si>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</si>
  <si>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</si>
  <si>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</si>
  <si>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</si>
  <si>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</si>
  <si>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</si>
  <si>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</si>
  <si>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</si>
  <si>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</si>
  <si>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</si>
  <si>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</si>
  <si>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</si>
  <si>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</si>
  <si>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</si>
  <si>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</si>
  <si>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</si>
  <si>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</si>
  <si>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</si>
  <si>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</si>
  <si>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</si>
  <si>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</si>
  <si>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</si>
  <si>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</si>
  <si>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</si>
  <si>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</si>
  <si>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</si>
  <si>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</si>
  <si>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</si>
  <si>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</si>
  <si>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</si>
  <si>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</si>
  <si>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</si>
  <si>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</si>
  <si>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</si>
  <si>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</si>
  <si>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</si>
  <si>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</si>
  <si>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</si>
  <si>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</si>
  <si>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</si>
  <si>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</si>
  <si>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</si>
  <si>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</si>
  <si>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</si>
  <si>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</si>
  <si>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</si>
  <si>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</si>
  <si>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</si>
  <si>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</si>
  <si>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</si>
  <si>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</si>
  <si>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</si>
  <si>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</si>
  <si>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</si>
  <si>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</si>
  <si>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</si>
  <si>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</si>
  <si>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</si>
  <si>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</si>
  <si>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</si>
  <si>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</si>
  <si>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</si>
  <si>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</si>
  <si>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</si>
  <si>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</si>
  <si>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</si>
  <si>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</si>
  <si>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</si>
  <si>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Contoocook Valley School District</t>
  </si>
  <si>
    <t>02/15/2013</t>
  </si>
  <si>
    <t>08/15/2018</t>
  </si>
  <si>
    <t>02/15/2023</t>
  </si>
  <si>
    <t>08/15/2023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</si>
</sst>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9"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112</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3856137.52</v>
      </c>
      <c r="G9" s="18">
        <v>784159.73</v>
      </c>
      <c r="H9" s="18">
        <v>0</v>
      </c>
      <c r="I9" s="18">
        <v>0</v>
      </c>
      <c r="J9" s="67">
        <f>SUM(I440)</f>
        <v>0</v>
      </c>
      <c r="K9" s="24" t="s">
        <v>288</v>
      </c>
      <c r="L9" s="24" t="s">
        <v>288</v>
      </c>
      <c r="M9" s="8"/>
      <c r="N9" s="264"/>
    </row>
    <row r="10" spans="1:14" s="3" customFormat="1" ht="12.2" customHeight="1" x14ac:dyDescent="0.15">
      <c r="A10" s="1" t="s">
        <v>562</v>
      </c>
      <c r="B10" s="2" t="s">
        <v>289</v>
      </c>
      <c r="C10" s="6">
        <v>2</v>
      </c>
      <c r="D10" s="2" t="s">
        <v>428</v>
      </c>
      <c r="E10" s="6">
        <v>110</v>
      </c>
      <c r="F10" s="18">
        <v>6210.57</v>
      </c>
      <c r="G10" s="18">
        <v>0</v>
      </c>
      <c r="H10" s="18">
        <v>0</v>
      </c>
      <c r="I10" s="18">
        <v>0</v>
      </c>
      <c r="J10" s="67">
        <f>SUM(I441)</f>
        <v>3984012.11</v>
      </c>
      <c r="K10" s="24" t="s">
        <v>288</v>
      </c>
      <c r="L10" s="24" t="s">
        <v>288</v>
      </c>
      <c r="M10" s="8"/>
      <c r="N10" s="264"/>
    </row>
    <row r="11" spans="1:14" s="3" customFormat="1" ht="12.2" customHeight="1" x14ac:dyDescent="0.15">
      <c r="A11" s="1" t="s">
        <v>563</v>
      </c>
      <c r="B11" s="2" t="s">
        <v>289</v>
      </c>
      <c r="C11" s="6">
        <v>3</v>
      </c>
      <c r="D11" s="2" t="s">
        <v>428</v>
      </c>
      <c r="E11" s="6">
        <v>120</v>
      </c>
      <c r="F11" s="18">
        <v>189031.53</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2266913.4</v>
      </c>
      <c r="G12" s="18">
        <v>0</v>
      </c>
      <c r="H12" s="18">
        <v>0</v>
      </c>
      <c r="I12" s="18">
        <v>0</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v>0</v>
      </c>
      <c r="G13" s="18">
        <v>130106.89</v>
      </c>
      <c r="H13" s="18">
        <v>1386611.57</v>
      </c>
      <c r="I13" s="18">
        <v>0</v>
      </c>
      <c r="J13" s="67">
        <f>SUM(I443)</f>
        <v>0</v>
      </c>
      <c r="K13" s="24" t="s">
        <v>288</v>
      </c>
      <c r="L13" s="24" t="s">
        <v>288</v>
      </c>
      <c r="M13" s="8"/>
      <c r="N13" s="264"/>
    </row>
    <row r="14" spans="1:14" s="3" customFormat="1" ht="12.2" customHeight="1" x14ac:dyDescent="0.15">
      <c r="A14" s="1" t="s">
        <v>565</v>
      </c>
      <c r="B14" s="2" t="s">
        <v>289</v>
      </c>
      <c r="C14" s="6">
        <v>6</v>
      </c>
      <c r="D14" s="2" t="s">
        <v>428</v>
      </c>
      <c r="E14" s="6">
        <v>150</v>
      </c>
      <c r="F14" s="18">
        <v>115351.29</v>
      </c>
      <c r="G14" s="18">
        <v>0</v>
      </c>
      <c r="H14" s="18">
        <v>0</v>
      </c>
      <c r="I14" s="18">
        <v>0</v>
      </c>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45329.47</v>
      </c>
      <c r="G18" s="18">
        <v>0</v>
      </c>
      <c r="H18" s="145">
        <v>0</v>
      </c>
      <c r="I18" s="18">
        <v>0</v>
      </c>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6478973.7799999993</v>
      </c>
      <c r="G19" s="41">
        <f>SUM(G9:G18)</f>
        <v>914266.62</v>
      </c>
      <c r="H19" s="41">
        <f>SUM(H9:H18)</f>
        <v>1386611.57</v>
      </c>
      <c r="I19" s="41">
        <f>SUM(I9:I18)</f>
        <v>0</v>
      </c>
      <c r="J19" s="41">
        <f>SUM(J9:J18)</f>
        <v>3984012.11</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0</v>
      </c>
      <c r="G22" s="18">
        <v>884709.92</v>
      </c>
      <c r="H22" s="18">
        <v>1382203.48</v>
      </c>
      <c r="I22" s="18">
        <v>0</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403265.38</v>
      </c>
      <c r="G24" s="18">
        <v>0</v>
      </c>
      <c r="H24" s="18">
        <v>1900.6</v>
      </c>
      <c r="I24" s="18">
        <v>0</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v>0</v>
      </c>
      <c r="G28" s="18">
        <v>0</v>
      </c>
      <c r="H28" s="18">
        <v>0</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80.540000000000006</v>
      </c>
      <c r="G30" s="18">
        <v>28629.7</v>
      </c>
      <c r="H30" s="18">
        <v>2507.4899999999998</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403345.91999999998</v>
      </c>
      <c r="G32" s="41">
        <f>SUM(G22:G31)</f>
        <v>913339.62</v>
      </c>
      <c r="H32" s="41">
        <f>SUM(H22:H31)</f>
        <v>1386611.57</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4"/>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4"/>
    </row>
    <row r="44" spans="1:14" s="3" customFormat="1" ht="12.2" customHeight="1" x14ac:dyDescent="0.15">
      <c r="A44" s="1" t="s">
        <v>837</v>
      </c>
      <c r="B44" s="6">
        <v>1</v>
      </c>
      <c r="C44" s="6">
        <v>30</v>
      </c>
      <c r="D44" s="2" t="s">
        <v>653</v>
      </c>
      <c r="E44" s="6">
        <v>755</v>
      </c>
      <c r="F44" s="18">
        <v>700000</v>
      </c>
      <c r="G44" s="18">
        <v>0</v>
      </c>
      <c r="H44" s="18">
        <v>0</v>
      </c>
      <c r="I44" s="18">
        <v>0</v>
      </c>
      <c r="J44" s="24" t="s">
        <v>288</v>
      </c>
      <c r="K44" s="24" t="s">
        <v>288</v>
      </c>
      <c r="L44" s="24" t="s">
        <v>288</v>
      </c>
      <c r="M44" s="8"/>
      <c r="N44" s="264"/>
    </row>
    <row r="45" spans="1:14" s="3" customFormat="1" ht="12.2" customHeight="1" x14ac:dyDescent="0.15">
      <c r="A45" s="1" t="s">
        <v>838</v>
      </c>
      <c r="B45" s="6">
        <v>1</v>
      </c>
      <c r="C45" s="6">
        <v>31</v>
      </c>
      <c r="D45" s="2"/>
      <c r="E45" s="6">
        <v>753</v>
      </c>
      <c r="F45" s="18">
        <v>796817.19</v>
      </c>
      <c r="G45" s="18">
        <v>0</v>
      </c>
      <c r="H45" s="18">
        <v>0</v>
      </c>
      <c r="I45" s="18">
        <v>0</v>
      </c>
      <c r="J45" s="13">
        <f>I456</f>
        <v>0</v>
      </c>
      <c r="K45" s="24" t="s">
        <v>288</v>
      </c>
      <c r="L45" s="24" t="s">
        <v>288</v>
      </c>
      <c r="M45" s="8"/>
      <c r="N45" s="264"/>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491294.66</v>
      </c>
      <c r="G48" s="18">
        <v>927</v>
      </c>
      <c r="H48" s="18">
        <v>0</v>
      </c>
      <c r="I48" s="18">
        <v>0</v>
      </c>
      <c r="J48" s="13">
        <f>SUM(I460)</f>
        <v>3984012.11</v>
      </c>
      <c r="K48" s="24" t="s">
        <v>288</v>
      </c>
      <c r="L48" s="24" t="s">
        <v>288</v>
      </c>
      <c r="M48" s="8"/>
      <c r="N48" s="264"/>
    </row>
    <row r="49" spans="1:14" s="3" customFormat="1" ht="12.2" customHeight="1" x14ac:dyDescent="0.15">
      <c r="A49" s="1" t="s">
        <v>859</v>
      </c>
      <c r="B49" s="2" t="s">
        <v>289</v>
      </c>
      <c r="C49" s="6">
        <v>34</v>
      </c>
      <c r="D49" s="2"/>
      <c r="E49" s="6">
        <v>753</v>
      </c>
      <c r="F49" s="18">
        <v>0</v>
      </c>
      <c r="G49" s="18">
        <v>0</v>
      </c>
      <c r="H49" s="18">
        <v>0</v>
      </c>
      <c r="I49" s="18">
        <v>0</v>
      </c>
      <c r="J49" s="13">
        <f>I455</f>
        <v>0</v>
      </c>
      <c r="K49" s="24"/>
      <c r="L49" s="24"/>
      <c r="M49" s="8"/>
      <c r="N49" s="264"/>
    </row>
    <row r="50" spans="1:14" s="3" customFormat="1" ht="12.2" customHeight="1" thickBot="1" x14ac:dyDescent="0.2">
      <c r="A50" s="29" t="s">
        <v>840</v>
      </c>
      <c r="B50" s="2" t="s">
        <v>289</v>
      </c>
      <c r="C50" s="71">
        <v>35</v>
      </c>
      <c r="D50" s="2" t="s">
        <v>653</v>
      </c>
      <c r="E50" s="6">
        <v>770</v>
      </c>
      <c r="F50" s="18">
        <v>4087516.01</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6075627.8599999994</v>
      </c>
      <c r="G51" s="41">
        <f>SUM(G35:G50)</f>
        <v>927</v>
      </c>
      <c r="H51" s="41">
        <f>SUM(H35:H50)</f>
        <v>0</v>
      </c>
      <c r="I51" s="41">
        <f>SUM(I35:I50)</f>
        <v>0</v>
      </c>
      <c r="J51" s="41">
        <f>SUM(J35:J50)</f>
        <v>3984012.11</v>
      </c>
      <c r="K51" s="45" t="s">
        <v>288</v>
      </c>
      <c r="L51" s="45" t="s">
        <v>288</v>
      </c>
      <c r="N51" s="262"/>
    </row>
    <row r="52" spans="1:14" s="3" customFormat="1" ht="12.2" customHeight="1" thickTop="1" x14ac:dyDescent="0.15">
      <c r="A52" s="38" t="s">
        <v>455</v>
      </c>
      <c r="B52" s="39" t="s">
        <v>289</v>
      </c>
      <c r="C52" s="6">
        <v>37</v>
      </c>
      <c r="D52" s="39" t="s">
        <v>653</v>
      </c>
      <c r="E52" s="39"/>
      <c r="F52" s="41">
        <f>F51+F32</f>
        <v>6478973.7799999993</v>
      </c>
      <c r="G52" s="41">
        <f>G51+G32</f>
        <v>914266.62</v>
      </c>
      <c r="H52" s="41">
        <f>H51+H32</f>
        <v>1386611.57</v>
      </c>
      <c r="I52" s="41">
        <f>I51+I32</f>
        <v>0</v>
      </c>
      <c r="J52" s="41">
        <f>J51+J32</f>
        <v>3984012.11</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35327666</v>
      </c>
      <c r="G57" s="18">
        <v>0</v>
      </c>
      <c r="H57" s="18">
        <v>0</v>
      </c>
      <c r="I57" s="18">
        <v>0</v>
      </c>
      <c r="J57" s="18">
        <v>0</v>
      </c>
      <c r="K57" s="24" t="s">
        <v>288</v>
      </c>
      <c r="L57" s="24" t="s">
        <v>288</v>
      </c>
      <c r="M57" s="8"/>
      <c r="N57" s="264"/>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v>0</v>
      </c>
      <c r="H59" s="18">
        <v>0</v>
      </c>
      <c r="I59" s="18">
        <v>0</v>
      </c>
      <c r="J59" s="18">
        <v>0</v>
      </c>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35327666</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31735.17</v>
      </c>
      <c r="G63" s="24" t="s">
        <v>288</v>
      </c>
      <c r="H63" s="18">
        <v>0</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55775.91</v>
      </c>
      <c r="G68" s="24" t="s">
        <v>288</v>
      </c>
      <c r="H68" s="18">
        <v>0</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7792.08</v>
      </c>
      <c r="G69" s="24" t="s">
        <v>288</v>
      </c>
      <c r="H69" s="18">
        <v>0</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15071.43</v>
      </c>
      <c r="G70" s="24" t="s">
        <v>288</v>
      </c>
      <c r="H70" s="18">
        <v>0</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110374.59</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9883.15</v>
      </c>
      <c r="G96" s="18">
        <v>788.91</v>
      </c>
      <c r="H96" s="18">
        <v>0</v>
      </c>
      <c r="I96" s="18">
        <v>0</v>
      </c>
      <c r="J96" s="18">
        <v>1704.4</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16565.919999999998</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11270</v>
      </c>
      <c r="G98" s="24" t="s">
        <v>288</v>
      </c>
      <c r="H98" s="18">
        <v>0</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6288.69</v>
      </c>
      <c r="G101" s="18">
        <v>0</v>
      </c>
      <c r="H101" s="18">
        <v>0</v>
      </c>
      <c r="I101" s="18">
        <v>0</v>
      </c>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3898.63</v>
      </c>
      <c r="G109" s="18">
        <v>0</v>
      </c>
      <c r="H109" s="18">
        <v>0</v>
      </c>
      <c r="I109" s="18">
        <v>0</v>
      </c>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311474.40999999997</v>
      </c>
      <c r="G110" s="18">
        <v>0</v>
      </c>
      <c r="H110" s="18">
        <v>0</v>
      </c>
      <c r="I110" s="18">
        <v>0</v>
      </c>
      <c r="J110" s="18">
        <v>0</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342814.88</v>
      </c>
      <c r="G111" s="41">
        <f>SUM(G96:G110)</f>
        <v>17354.829999999998</v>
      </c>
      <c r="H111" s="41">
        <f>SUM(H96:H110)</f>
        <v>0</v>
      </c>
      <c r="I111" s="41">
        <f>SUM(I96:I110)</f>
        <v>0</v>
      </c>
      <c r="J111" s="41">
        <f>SUM(J96:J110)</f>
        <v>1704.4</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35780855.470000006</v>
      </c>
      <c r="G112" s="41">
        <f>G60+G111</f>
        <v>17354.829999999998</v>
      </c>
      <c r="H112" s="41">
        <f>H60+H79+H94+H111</f>
        <v>0</v>
      </c>
      <c r="I112" s="41">
        <f>I60+I111</f>
        <v>0</v>
      </c>
      <c r="J112" s="41">
        <f>J60+J111</f>
        <v>1704.4</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8508944.0199999996</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4259836</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0</v>
      </c>
      <c r="G120" s="18">
        <v>0</v>
      </c>
      <c r="H120" s="18">
        <v>0</v>
      </c>
      <c r="I120" s="18">
        <v>0</v>
      </c>
      <c r="J120" s="18">
        <v>0</v>
      </c>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12768780.02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67857.58</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22909.86</v>
      </c>
      <c r="G127" s="24" t="s">
        <v>288</v>
      </c>
      <c r="H127" s="18">
        <v>0</v>
      </c>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5675.99</v>
      </c>
      <c r="G128" s="24" t="s">
        <v>288</v>
      </c>
      <c r="H128" s="18">
        <v>0</v>
      </c>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v>0</v>
      </c>
      <c r="G130" s="24" t="s">
        <v>288</v>
      </c>
      <c r="H130" s="18">
        <v>10096.57</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14636.64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80187.460000000006</v>
      </c>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v>0</v>
      </c>
      <c r="H135" s="18"/>
      <c r="I135" s="18">
        <v>0</v>
      </c>
      <c r="J135" s="18">
        <v>0</v>
      </c>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96443.430000000008</v>
      </c>
      <c r="G136" s="41">
        <f>SUM(G123:G135)</f>
        <v>14636.64</v>
      </c>
      <c r="H136" s="41">
        <f>SUM(H123:H135)</f>
        <v>90284.03</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12865223.449999999</v>
      </c>
      <c r="G140" s="41">
        <f>G121+SUM(G136:G137)</f>
        <v>14636.64</v>
      </c>
      <c r="H140" s="41">
        <f>H121+SUM(H136:H139)</f>
        <v>90284.03</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368243.89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90180.63</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141732.9</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v>8833.68</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597051.37</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523292.54</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389046.22</v>
      </c>
      <c r="G160" s="24" t="s">
        <v>288</v>
      </c>
      <c r="H160" s="18">
        <v>0</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0</v>
      </c>
      <c r="G161" s="18">
        <v>0</v>
      </c>
      <c r="H161" s="18">
        <v>945222.93</v>
      </c>
      <c r="I161" s="18">
        <v>0</v>
      </c>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24" t="s">
        <v>288</v>
      </c>
      <c r="H162" s="18">
        <v>951498.52</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389046.22</v>
      </c>
      <c r="G163" s="41">
        <f>SUM(G150:G162)</f>
        <v>597051.37</v>
      </c>
      <c r="H163" s="41">
        <f>SUM(H150:H162)</f>
        <v>3029005.0900000003</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v>0</v>
      </c>
      <c r="H164" s="18">
        <v>0</v>
      </c>
      <c r="I164" s="18">
        <v>0</v>
      </c>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v>0</v>
      </c>
      <c r="H169" s="18">
        <v>0</v>
      </c>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389046.22</v>
      </c>
      <c r="G170" s="41">
        <f>G147+G163+SUM(G164:G169)</f>
        <v>597051.37</v>
      </c>
      <c r="H170" s="41">
        <f>H147+H163+SUM(H164:H169)</f>
        <v>3029005.0900000003</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180911.4</v>
      </c>
      <c r="H180" s="18">
        <v>0</v>
      </c>
      <c r="I180" s="18">
        <v>0</v>
      </c>
      <c r="J180" s="18">
        <v>670000</v>
      </c>
      <c r="K180" s="24" t="s">
        <v>288</v>
      </c>
      <c r="L180" s="24" t="s">
        <v>288</v>
      </c>
      <c r="M180" s="8"/>
      <c r="N180" s="264"/>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4"/>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4"/>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180911.4</v>
      </c>
      <c r="H184" s="41">
        <f>SUM(H180:H183)</f>
        <v>0</v>
      </c>
      <c r="I184" s="41">
        <f>SUM(I180:I183)</f>
        <v>0</v>
      </c>
      <c r="J184" s="41">
        <f>SUM(J180:J183)</f>
        <v>670000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90924.36</v>
      </c>
      <c r="G186" s="18">
        <v>0</v>
      </c>
      <c r="H186" s="18">
        <v>0</v>
      </c>
      <c r="I186" s="18">
        <v>0</v>
      </c>
      <c r="J186" s="24" t="s">
        <v>288</v>
      </c>
      <c r="K186" s="24" t="s">
        <v>288</v>
      </c>
      <c r="L186" s="24" t="s">
        <v>288</v>
      </c>
      <c r="M186" s="8"/>
      <c r="N186" s="264"/>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2"/>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90924.36</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90924.36</v>
      </c>
      <c r="G193" s="41">
        <f>G184+SUM(G189:G192)</f>
        <v>180911.4</v>
      </c>
      <c r="H193" s="41">
        <f>+H184+SUM(H189:H192)</f>
        <v>0</v>
      </c>
      <c r="I193" s="41">
        <f>I178+I184+SUM(I189:I192)</f>
        <v>0</v>
      </c>
      <c r="J193" s="41">
        <f>J184</f>
        <v>670000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49126049.5</v>
      </c>
      <c r="G194" s="47">
        <f>G112+G140+G170+G193</f>
        <v>809954.24</v>
      </c>
      <c r="H194" s="47">
        <f>H112+H140+H170+H193</f>
        <v>3119289.12</v>
      </c>
      <c r="I194" s="47">
        <f>I112+I140+I170+I193</f>
        <v>0</v>
      </c>
      <c r="J194" s="47">
        <f>J112+J140+J193</f>
        <v>671704.4</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4101742.8</v>
      </c>
      <c r="G198" s="18">
        <v>1792298.02</v>
      </c>
      <c r="H198" s="18">
        <v>23756.48</v>
      </c>
      <c r="I198" s="18">
        <v>80293.81</v>
      </c>
      <c r="J198" s="18">
        <v>95862.35</v>
      </c>
      <c r="K198" s="18">
        <v>0</v>
      </c>
      <c r="L198" s="19">
        <f>SUM(F198:K198)</f>
        <v>6093953.46</v>
      </c>
      <c r="M198" s="8"/>
      <c r="N198" s="264"/>
    </row>
    <row r="199" spans="1:14" s="3" customFormat="1" ht="12.2" customHeight="1" x14ac:dyDescent="0.15">
      <c r="A199" s="1" t="s">
        <v>439</v>
      </c>
      <c r="B199" s="2" t="s">
        <v>341</v>
      </c>
      <c r="C199" s="2" t="s">
        <v>291</v>
      </c>
      <c r="D199" s="2" t="s">
        <v>431</v>
      </c>
      <c r="E199" s="6">
        <v>1200</v>
      </c>
      <c r="F199" s="18">
        <v>2850047.3</v>
      </c>
      <c r="G199" s="18">
        <v>1340120.55</v>
      </c>
      <c r="H199" s="18">
        <v>373892.1</v>
      </c>
      <c r="I199" s="18">
        <v>19117.29</v>
      </c>
      <c r="J199" s="18">
        <v>9593.34</v>
      </c>
      <c r="K199" s="18">
        <v>3434.31</v>
      </c>
      <c r="L199" s="19">
        <f>SUM(F199:K199)</f>
        <v>4596204.8899999987</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0</v>
      </c>
      <c r="G201" s="18">
        <v>0</v>
      </c>
      <c r="H201" s="18">
        <v>187.5</v>
      </c>
      <c r="I201" s="18">
        <v>0</v>
      </c>
      <c r="J201" s="18">
        <v>0</v>
      </c>
      <c r="K201" s="18">
        <v>0</v>
      </c>
      <c r="L201" s="19">
        <f>SUM(F201:K201)</f>
        <v>187.5</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620258.43000000005</v>
      </c>
      <c r="G203" s="18">
        <v>258936.32000000001</v>
      </c>
      <c r="H203" s="18">
        <v>17701.5</v>
      </c>
      <c r="I203" s="18">
        <v>2929.6</v>
      </c>
      <c r="J203" s="18">
        <v>19305.95</v>
      </c>
      <c r="K203" s="18">
        <v>0</v>
      </c>
      <c r="L203" s="19">
        <f t="shared" ref="L203:L209" si="0">SUM(F203:K203)</f>
        <v>919131.79999999993</v>
      </c>
      <c r="M203" s="8"/>
      <c r="N203" s="264"/>
    </row>
    <row r="204" spans="1:14" s="3" customFormat="1" ht="12.2" customHeight="1" x14ac:dyDescent="0.15">
      <c r="A204" s="1" t="s">
        <v>443</v>
      </c>
      <c r="B204" s="2" t="s">
        <v>341</v>
      </c>
      <c r="C204" s="2" t="s">
        <v>295</v>
      </c>
      <c r="D204" s="2" t="s">
        <v>431</v>
      </c>
      <c r="E204" s="6">
        <v>2200</v>
      </c>
      <c r="F204" s="18">
        <v>208704.81</v>
      </c>
      <c r="G204" s="18">
        <v>109337.62</v>
      </c>
      <c r="H204" s="18">
        <v>89858.27</v>
      </c>
      <c r="I204" s="18">
        <v>39638.82</v>
      </c>
      <c r="J204" s="18">
        <v>0</v>
      </c>
      <c r="K204" s="18">
        <v>0</v>
      </c>
      <c r="L204" s="19">
        <f t="shared" si="0"/>
        <v>447539.52</v>
      </c>
      <c r="M204" s="8"/>
      <c r="N204" s="264"/>
    </row>
    <row r="205" spans="1:14" s="3" customFormat="1" ht="12.2" customHeight="1" x14ac:dyDescent="0.15">
      <c r="A205" s="1" t="s">
        <v>444</v>
      </c>
      <c r="B205" s="2" t="s">
        <v>341</v>
      </c>
      <c r="C205" s="2" t="s">
        <v>296</v>
      </c>
      <c r="D205" s="2" t="s">
        <v>431</v>
      </c>
      <c r="E205" s="6">
        <v>2300</v>
      </c>
      <c r="F205" s="18">
        <v>439827.6</v>
      </c>
      <c r="G205" s="18">
        <v>280236.24</v>
      </c>
      <c r="H205" s="18">
        <v>165382.09</v>
      </c>
      <c r="I205" s="18">
        <v>91174.46</v>
      </c>
      <c r="J205" s="18">
        <v>180.94</v>
      </c>
      <c r="K205" s="18">
        <v>4436.92</v>
      </c>
      <c r="L205" s="19">
        <f t="shared" si="0"/>
        <v>981238.24999999988</v>
      </c>
      <c r="M205" s="8"/>
      <c r="N205" s="264"/>
    </row>
    <row r="206" spans="1:14" s="3" customFormat="1" ht="12.2" customHeight="1" x14ac:dyDescent="0.15">
      <c r="A206" s="1" t="s">
        <v>445</v>
      </c>
      <c r="B206" s="2" t="s">
        <v>341</v>
      </c>
      <c r="C206" s="2" t="s">
        <v>297</v>
      </c>
      <c r="D206" s="2" t="s">
        <v>431</v>
      </c>
      <c r="E206" s="6">
        <v>2400</v>
      </c>
      <c r="F206" s="18">
        <v>1049851.74</v>
      </c>
      <c r="G206" s="18">
        <v>528382.32999999996</v>
      </c>
      <c r="H206" s="18">
        <v>148303.03</v>
      </c>
      <c r="I206" s="18">
        <v>6664.78</v>
      </c>
      <c r="J206" s="18">
        <v>1289</v>
      </c>
      <c r="K206" s="18">
        <v>4381.75</v>
      </c>
      <c r="L206" s="19">
        <f t="shared" si="0"/>
        <v>1738872.63</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198953.81</v>
      </c>
      <c r="G208" s="18">
        <v>65003.87</v>
      </c>
      <c r="H208" s="18">
        <v>756295.08</v>
      </c>
      <c r="I208" s="18">
        <v>369197.16</v>
      </c>
      <c r="J208" s="18">
        <v>10176.870000000001</v>
      </c>
      <c r="K208" s="18">
        <v>0</v>
      </c>
      <c r="L208" s="19">
        <f t="shared" si="0"/>
        <v>1399626.79</v>
      </c>
      <c r="M208" s="8"/>
      <c r="N208" s="264"/>
    </row>
    <row r="209" spans="1:14" s="3" customFormat="1" ht="12.2" customHeight="1" x14ac:dyDescent="0.15">
      <c r="A209" s="1" t="s">
        <v>448</v>
      </c>
      <c r="B209" s="2" t="s">
        <v>341</v>
      </c>
      <c r="C209" s="2" t="s">
        <v>300</v>
      </c>
      <c r="D209" s="2" t="s">
        <v>431</v>
      </c>
      <c r="E209" s="6">
        <v>2700</v>
      </c>
      <c r="F209" s="18">
        <v>0</v>
      </c>
      <c r="G209" s="18">
        <v>0</v>
      </c>
      <c r="H209" s="18">
        <v>771912.54</v>
      </c>
      <c r="I209" s="18">
        <v>0</v>
      </c>
      <c r="J209" s="18">
        <v>0</v>
      </c>
      <c r="K209" s="18">
        <v>0</v>
      </c>
      <c r="L209" s="19">
        <f t="shared" si="0"/>
        <v>771912.54</v>
      </c>
      <c r="M209" s="8"/>
      <c r="N209" s="2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9469386.4899999984</v>
      </c>
      <c r="G212" s="41">
        <f t="shared" si="1"/>
        <v>4374314.95</v>
      </c>
      <c r="H212" s="41">
        <f t="shared" si="1"/>
        <v>2347288.59</v>
      </c>
      <c r="I212" s="41">
        <f t="shared" si="1"/>
        <v>609015.92000000004</v>
      </c>
      <c r="J212" s="41">
        <f t="shared" si="1"/>
        <v>136408.45000000001</v>
      </c>
      <c r="K212" s="41">
        <f t="shared" si="1"/>
        <v>12252.98</v>
      </c>
      <c r="L212" s="41">
        <f t="shared" si="1"/>
        <v>16948667.379999995</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3486697.1</v>
      </c>
      <c r="G216" s="18">
        <v>1628177.7</v>
      </c>
      <c r="H216" s="18">
        <v>20686.11</v>
      </c>
      <c r="I216" s="18">
        <v>78483.259999999995</v>
      </c>
      <c r="J216" s="18">
        <v>82760.149999999994</v>
      </c>
      <c r="K216" s="18">
        <v>200</v>
      </c>
      <c r="L216" s="19">
        <f>SUM(F216:K216)</f>
        <v>5297004.32</v>
      </c>
      <c r="M216" s="8"/>
      <c r="N216" s="264"/>
    </row>
    <row r="217" spans="1:14" s="3" customFormat="1" ht="12.2" customHeight="1" x14ac:dyDescent="0.15">
      <c r="A217" s="1" t="s">
        <v>439</v>
      </c>
      <c r="B217" s="2" t="s">
        <v>346</v>
      </c>
      <c r="C217" s="2" t="s">
        <v>291</v>
      </c>
      <c r="D217" s="2" t="s">
        <v>431</v>
      </c>
      <c r="E217" s="6">
        <v>1200</v>
      </c>
      <c r="F217" s="18">
        <v>1437605.39</v>
      </c>
      <c r="G217" s="18">
        <v>775720.09</v>
      </c>
      <c r="H217" s="18">
        <v>330077.74</v>
      </c>
      <c r="I217" s="18">
        <v>11374.03</v>
      </c>
      <c r="J217" s="18">
        <v>7513.95</v>
      </c>
      <c r="K217" s="18">
        <v>2847</v>
      </c>
      <c r="L217" s="19">
        <f>SUM(F217:K217)</f>
        <v>2565138.1999999997</v>
      </c>
      <c r="M217" s="8"/>
      <c r="N217" s="264"/>
    </row>
    <row r="218" spans="1:14" s="3" customFormat="1" ht="12.2" customHeight="1" x14ac:dyDescent="0.15">
      <c r="A218" s="1" t="s">
        <v>440</v>
      </c>
      <c r="B218" s="2" t="s">
        <v>346</v>
      </c>
      <c r="C218" s="2" t="s">
        <v>292</v>
      </c>
      <c r="D218" s="2" t="s">
        <v>431</v>
      </c>
      <c r="E218" s="6">
        <v>1300</v>
      </c>
      <c r="F218" s="18">
        <v>254326.95</v>
      </c>
      <c r="G218" s="18">
        <v>107609.71</v>
      </c>
      <c r="H218" s="18">
        <v>1316.22</v>
      </c>
      <c r="I218" s="18">
        <v>6832.28</v>
      </c>
      <c r="J218" s="18">
        <v>164.99</v>
      </c>
      <c r="K218" s="18">
        <v>0</v>
      </c>
      <c r="L218" s="19">
        <f>SUM(F218:K218)</f>
        <v>370250.15</v>
      </c>
      <c r="M218" s="8"/>
      <c r="N218" s="264"/>
    </row>
    <row r="219" spans="1:14" s="3" customFormat="1" ht="12.2" customHeight="1" x14ac:dyDescent="0.15">
      <c r="A219" s="1" t="s">
        <v>441</v>
      </c>
      <c r="B219" s="2" t="s">
        <v>346</v>
      </c>
      <c r="C219" s="2" t="s">
        <v>293</v>
      </c>
      <c r="D219" s="2" t="s">
        <v>431</v>
      </c>
      <c r="E219" s="6">
        <v>1400</v>
      </c>
      <c r="F219" s="18">
        <v>24499.83</v>
      </c>
      <c r="G219" s="18">
        <v>5855.25</v>
      </c>
      <c r="H219" s="18">
        <v>1323</v>
      </c>
      <c r="I219" s="18">
        <v>1098.8900000000001</v>
      </c>
      <c r="J219" s="18">
        <v>822.6</v>
      </c>
      <c r="K219" s="18">
        <v>320</v>
      </c>
      <c r="L219" s="19">
        <f>SUM(F219:K219)</f>
        <v>33919.57</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453844.52</v>
      </c>
      <c r="G221" s="18">
        <v>256952.35</v>
      </c>
      <c r="H221" s="18">
        <v>15500.74</v>
      </c>
      <c r="I221" s="18">
        <v>2296.83</v>
      </c>
      <c r="J221" s="18">
        <v>11588.37</v>
      </c>
      <c r="K221" s="18"/>
      <c r="L221" s="19">
        <f t="shared" ref="L221:L227" si="2">SUM(F221:K221)</f>
        <v>740182.80999999994</v>
      </c>
      <c r="M221" s="8"/>
      <c r="N221" s="264"/>
    </row>
    <row r="222" spans="1:14" s="3" customFormat="1" ht="12.2" customHeight="1" x14ac:dyDescent="0.15">
      <c r="A222" s="1" t="s">
        <v>443</v>
      </c>
      <c r="B222" s="2" t="s">
        <v>346</v>
      </c>
      <c r="C222" s="2" t="s">
        <v>295</v>
      </c>
      <c r="D222" s="2" t="s">
        <v>431</v>
      </c>
      <c r="E222" s="6">
        <v>2200</v>
      </c>
      <c r="F222" s="18">
        <v>133177.15</v>
      </c>
      <c r="G222" s="18">
        <v>62705.16</v>
      </c>
      <c r="H222" s="18">
        <v>79708.27</v>
      </c>
      <c r="I222" s="18">
        <v>45215.27</v>
      </c>
      <c r="J222" s="18">
        <v>450.02</v>
      </c>
      <c r="K222" s="18">
        <v>0</v>
      </c>
      <c r="L222" s="19">
        <f t="shared" si="2"/>
        <v>321255.87000000005</v>
      </c>
      <c r="M222" s="8"/>
      <c r="N222" s="264"/>
    </row>
    <row r="223" spans="1:14" s="3" customFormat="1" ht="12.2" customHeight="1" x14ac:dyDescent="0.15">
      <c r="A223" s="1" t="s">
        <v>444</v>
      </c>
      <c r="B223" s="2" t="s">
        <v>346</v>
      </c>
      <c r="C223" s="2" t="s">
        <v>296</v>
      </c>
      <c r="D223" s="2" t="s">
        <v>431</v>
      </c>
      <c r="E223" s="6">
        <v>2300</v>
      </c>
      <c r="F223" s="18">
        <v>388286.62</v>
      </c>
      <c r="G223" s="18">
        <v>247396.89</v>
      </c>
      <c r="H223" s="18">
        <v>144767.5</v>
      </c>
      <c r="I223" s="18">
        <v>80490.23</v>
      </c>
      <c r="J223" s="18">
        <v>159.72999999999999</v>
      </c>
      <c r="K223" s="18">
        <v>3916.98</v>
      </c>
      <c r="L223" s="19">
        <f t="shared" si="2"/>
        <v>865017.95</v>
      </c>
      <c r="M223" s="8"/>
      <c r="N223" s="264"/>
    </row>
    <row r="224" spans="1:14" s="3" customFormat="1" ht="12.2" customHeight="1" x14ac:dyDescent="0.15">
      <c r="A224" s="1" t="s">
        <v>445</v>
      </c>
      <c r="B224" s="2" t="s">
        <v>346</v>
      </c>
      <c r="C224" s="2" t="s">
        <v>297</v>
      </c>
      <c r="D224" s="2" t="s">
        <v>431</v>
      </c>
      <c r="E224" s="6">
        <v>2400</v>
      </c>
      <c r="F224" s="18">
        <v>574499.46</v>
      </c>
      <c r="G224" s="18">
        <v>260923.8</v>
      </c>
      <c r="H224" s="18">
        <v>68105.84</v>
      </c>
      <c r="I224" s="18">
        <v>4177.1899999999996</v>
      </c>
      <c r="J224" s="18">
        <v>0</v>
      </c>
      <c r="K224" s="18">
        <v>5282</v>
      </c>
      <c r="L224" s="19">
        <f t="shared" si="2"/>
        <v>912988.28999999992</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v>245233.63</v>
      </c>
      <c r="G226" s="18">
        <v>86081.8</v>
      </c>
      <c r="H226" s="18">
        <v>472353.45</v>
      </c>
      <c r="I226" s="18">
        <v>280147.67</v>
      </c>
      <c r="J226" s="18">
        <v>8984.2999999999993</v>
      </c>
      <c r="K226" s="18">
        <v>0</v>
      </c>
      <c r="L226" s="19">
        <f t="shared" si="2"/>
        <v>1092800.8500000001</v>
      </c>
      <c r="M226" s="8"/>
      <c r="N226" s="264"/>
    </row>
    <row r="227" spans="1:14" s="3" customFormat="1" ht="12.2" customHeight="1" x14ac:dyDescent="0.15">
      <c r="A227" s="1" t="s">
        <v>448</v>
      </c>
      <c r="B227" s="2" t="s">
        <v>346</v>
      </c>
      <c r="C227" s="2" t="s">
        <v>300</v>
      </c>
      <c r="D227" s="2" t="s">
        <v>431</v>
      </c>
      <c r="E227" s="6">
        <v>2700</v>
      </c>
      <c r="F227" s="18">
        <v>0</v>
      </c>
      <c r="G227" s="18">
        <v>0</v>
      </c>
      <c r="H227" s="18">
        <v>681794.62</v>
      </c>
      <c r="I227" s="18">
        <v>0</v>
      </c>
      <c r="J227" s="18">
        <v>0</v>
      </c>
      <c r="K227" s="18">
        <v>0</v>
      </c>
      <c r="L227" s="19">
        <f t="shared" si="2"/>
        <v>681794.62</v>
      </c>
      <c r="M227" s="8"/>
      <c r="N227" s="2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6998170.6500000013</v>
      </c>
      <c r="G230" s="41">
        <f>SUM(G216:G229)</f>
        <v>3431422.75</v>
      </c>
      <c r="H230" s="41">
        <f>SUM(H216:H229)</f>
        <v>1815633.4899999998</v>
      </c>
      <c r="I230" s="41">
        <f>SUM(I216:I229)</f>
        <v>510115.64999999997</v>
      </c>
      <c r="J230" s="41">
        <f>SUM(J216:J229)</f>
        <v>112444.11</v>
      </c>
      <c r="K230" s="41">
        <f t="shared" si="3"/>
        <v>12565.98</v>
      </c>
      <c r="L230" s="41">
        <f t="shared" si="3"/>
        <v>12880352.629999997</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2814465.42</v>
      </c>
      <c r="G234" s="18">
        <v>1121900.52</v>
      </c>
      <c r="H234" s="18">
        <v>20521.560000000001</v>
      </c>
      <c r="I234" s="18">
        <v>68932.899999999994</v>
      </c>
      <c r="J234" s="18">
        <v>116034.44</v>
      </c>
      <c r="K234" s="18">
        <v>1205</v>
      </c>
      <c r="L234" s="19">
        <f>SUM(F234:K234)</f>
        <v>4143059.84</v>
      </c>
      <c r="M234" s="8"/>
      <c r="N234" s="264"/>
    </row>
    <row r="235" spans="1:14" s="3" customFormat="1" ht="12.2" customHeight="1" x14ac:dyDescent="0.15">
      <c r="A235" s="1" t="s">
        <v>439</v>
      </c>
      <c r="B235" s="2" t="s">
        <v>350</v>
      </c>
      <c r="C235" s="2" t="s">
        <v>291</v>
      </c>
      <c r="D235" s="2" t="s">
        <v>431</v>
      </c>
      <c r="E235" s="6">
        <v>1200</v>
      </c>
      <c r="F235" s="18">
        <v>2177728.16</v>
      </c>
      <c r="G235" s="18">
        <v>1053379.18</v>
      </c>
      <c r="H235" s="18">
        <v>376282.95</v>
      </c>
      <c r="I235" s="18">
        <v>16812.810000000001</v>
      </c>
      <c r="J235" s="18">
        <v>11221.5</v>
      </c>
      <c r="K235" s="18">
        <v>3235.1</v>
      </c>
      <c r="L235" s="19">
        <f>SUM(F235:K235)</f>
        <v>3638659.7</v>
      </c>
      <c r="M235" s="8"/>
      <c r="N235" s="264"/>
    </row>
    <row r="236" spans="1:14" s="3" customFormat="1" ht="12.2" customHeight="1" x14ac:dyDescent="0.15">
      <c r="A236" s="1" t="s">
        <v>440</v>
      </c>
      <c r="B236" s="2" t="s">
        <v>350</v>
      </c>
      <c r="C236" s="2" t="s">
        <v>292</v>
      </c>
      <c r="D236" s="2" t="s">
        <v>431</v>
      </c>
      <c r="E236" s="6">
        <v>1300</v>
      </c>
      <c r="F236" s="18">
        <v>448832.31</v>
      </c>
      <c r="G236" s="18">
        <v>203211.39</v>
      </c>
      <c r="H236" s="18">
        <v>70028.789999999994</v>
      </c>
      <c r="I236" s="18">
        <v>35553.370000000003</v>
      </c>
      <c r="J236" s="18">
        <v>5866.66</v>
      </c>
      <c r="K236" s="18">
        <v>0</v>
      </c>
      <c r="L236" s="19">
        <f>SUM(F236:K236)</f>
        <v>763492.52</v>
      </c>
      <c r="M236" s="8"/>
      <c r="N236" s="264"/>
    </row>
    <row r="237" spans="1:14" s="3" customFormat="1" ht="12.2" customHeight="1" x14ac:dyDescent="0.15">
      <c r="A237" s="1" t="s">
        <v>441</v>
      </c>
      <c r="B237" s="2" t="s">
        <v>350</v>
      </c>
      <c r="C237" s="2" t="s">
        <v>293</v>
      </c>
      <c r="D237" s="2" t="s">
        <v>431</v>
      </c>
      <c r="E237" s="6">
        <v>1400</v>
      </c>
      <c r="F237" s="18">
        <v>302620.15000000002</v>
      </c>
      <c r="G237" s="18">
        <v>84475.3</v>
      </c>
      <c r="H237" s="18">
        <v>94092.78</v>
      </c>
      <c r="I237" s="18">
        <v>10977.76</v>
      </c>
      <c r="J237" s="18">
        <v>8027.44</v>
      </c>
      <c r="K237" s="18">
        <v>15586.96</v>
      </c>
      <c r="L237" s="19">
        <f>SUM(F237:K237)</f>
        <v>515780.39</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628825.92000000004</v>
      </c>
      <c r="G239" s="18">
        <v>319971.15000000002</v>
      </c>
      <c r="H239" s="18">
        <v>28843.79</v>
      </c>
      <c r="I239" s="18">
        <v>1811.21</v>
      </c>
      <c r="J239" s="18">
        <v>11349.97</v>
      </c>
      <c r="K239" s="18">
        <v>17514</v>
      </c>
      <c r="L239" s="19">
        <f t="shared" ref="L239:L245" si="4">SUM(F239:K239)</f>
        <v>1008316.04</v>
      </c>
      <c r="M239" s="8"/>
      <c r="N239" s="264"/>
    </row>
    <row r="240" spans="1:14" s="3" customFormat="1" ht="12.2" customHeight="1" x14ac:dyDescent="0.15">
      <c r="A240" s="1" t="s">
        <v>443</v>
      </c>
      <c r="B240" s="2" t="s">
        <v>350</v>
      </c>
      <c r="C240" s="2" t="s">
        <v>295</v>
      </c>
      <c r="D240" s="2" t="s">
        <v>431</v>
      </c>
      <c r="E240" s="6">
        <v>2200</v>
      </c>
      <c r="F240" s="18">
        <v>115842.84</v>
      </c>
      <c r="G240" s="18">
        <v>37539.58</v>
      </c>
      <c r="H240" s="18">
        <v>90142.23</v>
      </c>
      <c r="I240" s="18">
        <v>57830.58</v>
      </c>
      <c r="J240" s="18">
        <v>5307.56</v>
      </c>
      <c r="K240" s="18">
        <v>0</v>
      </c>
      <c r="L240" s="19">
        <f t="shared" si="4"/>
        <v>306662.78999999998</v>
      </c>
      <c r="M240" s="8"/>
      <c r="N240" s="264"/>
    </row>
    <row r="241" spans="1:14" s="3" customFormat="1" ht="12.2" customHeight="1" x14ac:dyDescent="0.15">
      <c r="A241" s="1" t="s">
        <v>444</v>
      </c>
      <c r="B241" s="2" t="s">
        <v>350</v>
      </c>
      <c r="C241" s="2" t="s">
        <v>296</v>
      </c>
      <c r="D241" s="2" t="s">
        <v>431</v>
      </c>
      <c r="E241" s="6">
        <v>2300</v>
      </c>
      <c r="F241" s="18">
        <v>441217.49</v>
      </c>
      <c r="G241" s="18">
        <v>281121.81</v>
      </c>
      <c r="H241" s="18">
        <v>161876.04999999999</v>
      </c>
      <c r="I241" s="18">
        <v>91462.58</v>
      </c>
      <c r="J241" s="18">
        <v>181.51</v>
      </c>
      <c r="K241" s="18">
        <v>4450.9399999999996</v>
      </c>
      <c r="L241" s="19">
        <f t="shared" si="4"/>
        <v>980310.38</v>
      </c>
      <c r="M241" s="8"/>
      <c r="N241" s="264"/>
    </row>
    <row r="242" spans="1:14" s="3" customFormat="1" ht="12.2" customHeight="1" x14ac:dyDescent="0.15">
      <c r="A242" s="1" t="s">
        <v>445</v>
      </c>
      <c r="B242" s="2" t="s">
        <v>350</v>
      </c>
      <c r="C242" s="2" t="s">
        <v>297</v>
      </c>
      <c r="D242" s="2" t="s">
        <v>431</v>
      </c>
      <c r="E242" s="6">
        <v>2400</v>
      </c>
      <c r="F242" s="18">
        <v>738665.53</v>
      </c>
      <c r="G242" s="18">
        <v>379519.23</v>
      </c>
      <c r="H242" s="18">
        <v>45523.1</v>
      </c>
      <c r="I242" s="18">
        <v>11651.19</v>
      </c>
      <c r="J242" s="18">
        <v>0</v>
      </c>
      <c r="K242" s="18">
        <v>42022.96</v>
      </c>
      <c r="L242" s="19">
        <f t="shared" si="4"/>
        <v>1217382.01</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v>279406.01</v>
      </c>
      <c r="G244" s="18">
        <v>118515.08</v>
      </c>
      <c r="H244" s="18">
        <v>438486.86</v>
      </c>
      <c r="I244" s="18">
        <v>327091.49</v>
      </c>
      <c r="J244" s="18">
        <v>24537.05</v>
      </c>
      <c r="K244" s="18"/>
      <c r="L244" s="19">
        <f t="shared" si="4"/>
        <v>1188036.49</v>
      </c>
      <c r="M244" s="8"/>
      <c r="N244" s="264"/>
    </row>
    <row r="245" spans="1:14" s="3" customFormat="1" ht="12.2" customHeight="1" x14ac:dyDescent="0.15">
      <c r="A245" s="1" t="s">
        <v>448</v>
      </c>
      <c r="B245" s="2" t="s">
        <v>350</v>
      </c>
      <c r="C245" s="2" t="s">
        <v>300</v>
      </c>
      <c r="D245" s="2" t="s">
        <v>431</v>
      </c>
      <c r="E245" s="6">
        <v>2700</v>
      </c>
      <c r="F245" s="18">
        <v>0</v>
      </c>
      <c r="G245" s="18">
        <v>0</v>
      </c>
      <c r="H245" s="18">
        <v>792074.09</v>
      </c>
      <c r="I245" s="18">
        <v>0</v>
      </c>
      <c r="J245" s="18">
        <v>0</v>
      </c>
      <c r="K245" s="18">
        <v>0</v>
      </c>
      <c r="L245" s="19">
        <f t="shared" si="4"/>
        <v>792074.09</v>
      </c>
      <c r="M245" s="8"/>
      <c r="N245" s="264"/>
    </row>
    <row r="246" spans="1:14" s="3" customFormat="1" ht="12.2" customHeight="1" x14ac:dyDescent="0.15">
      <c r="A246" s="1" t="s">
        <v>449</v>
      </c>
      <c r="B246" s="2" t="s">
        <v>350</v>
      </c>
      <c r="C246" s="2" t="s">
        <v>343</v>
      </c>
      <c r="D246" s="2" t="s">
        <v>431</v>
      </c>
      <c r="E246" s="6">
        <v>2800</v>
      </c>
      <c r="F246" s="18">
        <v>0</v>
      </c>
      <c r="G246" s="18">
        <v>0</v>
      </c>
      <c r="H246" s="18">
        <v>3628.85</v>
      </c>
      <c r="I246" s="18">
        <v>0</v>
      </c>
      <c r="J246" s="18">
        <v>0</v>
      </c>
      <c r="K246" s="18">
        <v>0</v>
      </c>
      <c r="L246" s="19">
        <f>SUM(F246:K246)</f>
        <v>3628.85</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7947603.8300000001</v>
      </c>
      <c r="G248" s="41">
        <f t="shared" si="5"/>
        <v>3599633.24</v>
      </c>
      <c r="H248" s="41">
        <f t="shared" si="5"/>
        <v>2121501.0499999998</v>
      </c>
      <c r="I248" s="41">
        <f t="shared" si="5"/>
        <v>622123.89</v>
      </c>
      <c r="J248" s="41">
        <f t="shared" si="5"/>
        <v>182526.13</v>
      </c>
      <c r="K248" s="41">
        <f t="shared" si="5"/>
        <v>84014.959999999992</v>
      </c>
      <c r="L248" s="41">
        <f t="shared" si="5"/>
        <v>14557403.100000001</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24415160.969999999</v>
      </c>
      <c r="G258" s="41">
        <f t="shared" si="8"/>
        <v>11405370.940000001</v>
      </c>
      <c r="H258" s="41">
        <f t="shared" si="8"/>
        <v>6284423.129999999</v>
      </c>
      <c r="I258" s="41">
        <f t="shared" si="8"/>
        <v>1741255.46</v>
      </c>
      <c r="J258" s="41">
        <f t="shared" si="8"/>
        <v>431378.69</v>
      </c>
      <c r="K258" s="41">
        <f t="shared" si="8"/>
        <v>108833.91999999998</v>
      </c>
      <c r="L258" s="41">
        <f t="shared" si="8"/>
        <v>44386423.109999992</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540000</v>
      </c>
      <c r="L261" s="19">
        <f>SUM(F261:K261)</f>
        <v>540000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83532.5</v>
      </c>
      <c r="L262" s="19">
        <f>SUM(F262:K262)</f>
        <v>83532.5</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180911.4</v>
      </c>
      <c r="L264" s="19">
        <f>SUM(F264:K264)</f>
        <v>180911.4</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670000</v>
      </c>
      <c r="L267" s="19">
        <f t="shared" si="9"/>
        <v>670000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1474443.9</v>
      </c>
      <c r="L271" s="41">
        <f t="shared" si="9"/>
        <v>1474443.9</v>
      </c>
      <c r="M271" s="8"/>
      <c r="N271" s="264"/>
    </row>
    <row r="272" spans="1:14" s="34" customFormat="1" ht="12.2" customHeight="1" thickTop="1" x14ac:dyDescent="0.2">
      <c r="A272" s="43" t="s">
        <v>464</v>
      </c>
      <c r="B272" s="40">
        <v>10</v>
      </c>
      <c r="C272" s="40">
        <v>18</v>
      </c>
      <c r="D272" s="39" t="s">
        <v>431</v>
      </c>
      <c r="E272" s="40"/>
      <c r="F272" s="42">
        <f t="shared" ref="F272:L272" si="11">F258+F271</f>
        <v>24415160.969999999</v>
      </c>
      <c r="G272" s="42">
        <f t="shared" si="11"/>
        <v>11405370.940000001</v>
      </c>
      <c r="H272" s="42">
        <f t="shared" si="11"/>
        <v>6284423.129999999</v>
      </c>
      <c r="I272" s="42">
        <f t="shared" si="11"/>
        <v>1741255.46</v>
      </c>
      <c r="J272" s="42">
        <f t="shared" si="11"/>
        <v>431378.69</v>
      </c>
      <c r="K272" s="42">
        <f t="shared" si="11"/>
        <v>1583277.8199999998</v>
      </c>
      <c r="L272" s="42">
        <f t="shared" si="11"/>
        <v>45860867.00999999</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270022.13</v>
      </c>
      <c r="G277" s="18">
        <v>114082.81</v>
      </c>
      <c r="H277" s="18">
        <v>176857.86</v>
      </c>
      <c r="I277" s="18">
        <v>89514.76</v>
      </c>
      <c r="J277" s="18">
        <v>152896.71</v>
      </c>
      <c r="K277" s="18">
        <v>4784.5</v>
      </c>
      <c r="L277" s="19">
        <f>SUM(F277:K277)</f>
        <v>808158.77</v>
      </c>
      <c r="M277" s="8"/>
      <c r="N277" s="264"/>
    </row>
    <row r="278" spans="1:14" s="3" customFormat="1" ht="12.2" customHeight="1" x14ac:dyDescent="0.15">
      <c r="A278" s="1" t="s">
        <v>439</v>
      </c>
      <c r="B278" s="2" t="s">
        <v>357</v>
      </c>
      <c r="C278" s="2" t="s">
        <v>291</v>
      </c>
      <c r="D278" s="2" t="s">
        <v>431</v>
      </c>
      <c r="E278" s="6">
        <v>1200</v>
      </c>
      <c r="F278" s="18">
        <v>91165.63</v>
      </c>
      <c r="G278" s="18">
        <v>63965.25</v>
      </c>
      <c r="H278" s="18">
        <v>290994</v>
      </c>
      <c r="I278" s="18">
        <v>12032.36</v>
      </c>
      <c r="J278" s="18">
        <v>5641.03</v>
      </c>
      <c r="K278" s="18">
        <v>0</v>
      </c>
      <c r="L278" s="19">
        <f>SUM(F278:K278)</f>
        <v>463798.27</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0</v>
      </c>
      <c r="G280" s="18">
        <v>0</v>
      </c>
      <c r="H280" s="18">
        <v>0</v>
      </c>
      <c r="I280" s="18">
        <v>1980.8</v>
      </c>
      <c r="J280" s="18">
        <v>0</v>
      </c>
      <c r="K280" s="18">
        <v>784.03</v>
      </c>
      <c r="L280" s="19">
        <f>SUM(F280:K280)</f>
        <v>2764.83</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116101.2</v>
      </c>
      <c r="G282" s="18">
        <v>48580.74</v>
      </c>
      <c r="H282" s="18">
        <v>53128.7</v>
      </c>
      <c r="I282" s="18">
        <v>0</v>
      </c>
      <c r="J282" s="18">
        <v>0</v>
      </c>
      <c r="K282" s="18">
        <v>0</v>
      </c>
      <c r="L282" s="19">
        <f t="shared" ref="L282:L288" si="12">SUM(F282:K282)</f>
        <v>217810.64</v>
      </c>
      <c r="M282" s="8"/>
      <c r="N282" s="264"/>
    </row>
    <row r="283" spans="1:14" s="3" customFormat="1" ht="12.2" customHeight="1" x14ac:dyDescent="0.15">
      <c r="A283" s="1" t="s">
        <v>443</v>
      </c>
      <c r="B283" s="2" t="s">
        <v>357</v>
      </c>
      <c r="C283" s="2" t="s">
        <v>295</v>
      </c>
      <c r="D283" s="2" t="s">
        <v>431</v>
      </c>
      <c r="E283" s="6">
        <v>2200</v>
      </c>
      <c r="F283" s="18">
        <v>0</v>
      </c>
      <c r="G283" s="18">
        <v>0</v>
      </c>
      <c r="H283" s="18">
        <v>57704.55</v>
      </c>
      <c r="I283" s="18">
        <v>15573.39</v>
      </c>
      <c r="J283" s="18">
        <v>0</v>
      </c>
      <c r="K283" s="18">
        <v>0</v>
      </c>
      <c r="L283" s="19">
        <f t="shared" si="12"/>
        <v>73277.94</v>
      </c>
      <c r="M283" s="8"/>
      <c r="N283" s="264"/>
    </row>
    <row r="284" spans="1:14" s="3" customFormat="1" ht="12.2" customHeight="1" x14ac:dyDescent="0.15">
      <c r="A284" s="1" t="s">
        <v>444</v>
      </c>
      <c r="B284" s="2" t="s">
        <v>357</v>
      </c>
      <c r="C284" s="2" t="s">
        <v>296</v>
      </c>
      <c r="D284" s="2" t="s">
        <v>431</v>
      </c>
      <c r="E284" s="6">
        <v>2300</v>
      </c>
      <c r="F284" s="18">
        <v>0</v>
      </c>
      <c r="G284" s="18">
        <v>0</v>
      </c>
      <c r="H284" s="18">
        <v>24933.34</v>
      </c>
      <c r="I284" s="18">
        <v>45150.14</v>
      </c>
      <c r="J284" s="18">
        <v>0</v>
      </c>
      <c r="K284" s="18">
        <v>0</v>
      </c>
      <c r="L284" s="19">
        <f t="shared" si="12"/>
        <v>70083.48</v>
      </c>
      <c r="M284" s="8"/>
      <c r="N284" s="264"/>
    </row>
    <row r="285" spans="1:14" s="3" customFormat="1" ht="12.2" customHeight="1" x14ac:dyDescent="0.15">
      <c r="A285" s="1" t="s">
        <v>445</v>
      </c>
      <c r="B285" s="2" t="s">
        <v>357</v>
      </c>
      <c r="C285" s="2" t="s">
        <v>297</v>
      </c>
      <c r="D285" s="2" t="s">
        <v>431</v>
      </c>
      <c r="E285" s="6">
        <v>2400</v>
      </c>
      <c r="F285" s="18">
        <v>5940.64</v>
      </c>
      <c r="G285" s="18">
        <v>1486.43</v>
      </c>
      <c r="H285" s="18">
        <v>0</v>
      </c>
      <c r="I285" s="18">
        <v>0</v>
      </c>
      <c r="J285" s="18">
        <v>0</v>
      </c>
      <c r="K285" s="18">
        <v>0</v>
      </c>
      <c r="L285" s="19">
        <f t="shared" si="12"/>
        <v>7427.0700000000006</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0</v>
      </c>
      <c r="G287" s="18">
        <v>0</v>
      </c>
      <c r="H287" s="18">
        <v>88195.19</v>
      </c>
      <c r="I287" s="18">
        <v>27414.33</v>
      </c>
      <c r="J287" s="18">
        <v>0</v>
      </c>
      <c r="K287" s="18">
        <v>0</v>
      </c>
      <c r="L287" s="19">
        <f t="shared" si="12"/>
        <v>115609.52</v>
      </c>
      <c r="M287" s="8"/>
      <c r="N287" s="264"/>
    </row>
    <row r="288" spans="1:14" s="3" customFormat="1" ht="12.2" customHeight="1" x14ac:dyDescent="0.15">
      <c r="A288" s="1" t="s">
        <v>448</v>
      </c>
      <c r="B288" s="2" t="s">
        <v>357</v>
      </c>
      <c r="C288" s="2" t="s">
        <v>300</v>
      </c>
      <c r="D288" s="2" t="s">
        <v>431</v>
      </c>
      <c r="E288" s="6">
        <v>2700</v>
      </c>
      <c r="F288" s="18">
        <v>0</v>
      </c>
      <c r="G288" s="18">
        <v>0</v>
      </c>
      <c r="H288" s="18">
        <v>493.08</v>
      </c>
      <c r="I288" s="18">
        <v>0</v>
      </c>
      <c r="J288" s="18">
        <v>0</v>
      </c>
      <c r="K288" s="18">
        <v>0</v>
      </c>
      <c r="L288" s="19">
        <f t="shared" si="12"/>
        <v>493.08</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483229.60000000003</v>
      </c>
      <c r="G291" s="42">
        <f t="shared" si="13"/>
        <v>228115.22999999998</v>
      </c>
      <c r="H291" s="42">
        <f t="shared" si="13"/>
        <v>692306.71999999986</v>
      </c>
      <c r="I291" s="42">
        <f t="shared" si="13"/>
        <v>191665.78000000003</v>
      </c>
      <c r="J291" s="42">
        <f t="shared" si="13"/>
        <v>158537.74</v>
      </c>
      <c r="K291" s="42">
        <f t="shared" si="13"/>
        <v>5568.53</v>
      </c>
      <c r="L291" s="41">
        <f t="shared" si="13"/>
        <v>1759423.6000000003</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39315.35</v>
      </c>
      <c r="G296" s="18">
        <v>12179.33</v>
      </c>
      <c r="H296" s="18">
        <v>156053.44</v>
      </c>
      <c r="I296" s="18">
        <v>65355.35</v>
      </c>
      <c r="J296" s="18">
        <v>89160.61</v>
      </c>
      <c r="K296" s="18">
        <v>0</v>
      </c>
      <c r="L296" s="19">
        <f>SUM(F296:K296)</f>
        <v>362064.07999999996</v>
      </c>
      <c r="M296" s="8"/>
      <c r="N296" s="2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2045.5</v>
      </c>
      <c r="G299" s="18">
        <v>520.58000000000004</v>
      </c>
      <c r="H299" s="18">
        <v>0</v>
      </c>
      <c r="I299" s="18">
        <v>5248.61</v>
      </c>
      <c r="J299" s="18">
        <v>0</v>
      </c>
      <c r="K299" s="18">
        <v>250</v>
      </c>
      <c r="L299" s="19">
        <f>SUM(F299:K299)</f>
        <v>8064.69</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4"/>
    </row>
    <row r="302" spans="1:14" s="3" customFormat="1" ht="12.2" customHeight="1" x14ac:dyDescent="0.15">
      <c r="A302" s="1" t="s">
        <v>443</v>
      </c>
      <c r="B302" s="2" t="s">
        <v>358</v>
      </c>
      <c r="C302" s="2" t="s">
        <v>295</v>
      </c>
      <c r="D302" s="2" t="s">
        <v>431</v>
      </c>
      <c r="E302" s="6">
        <v>2200</v>
      </c>
      <c r="F302" s="18">
        <v>0</v>
      </c>
      <c r="G302" s="18">
        <v>0</v>
      </c>
      <c r="H302" s="18">
        <v>40970.26</v>
      </c>
      <c r="I302" s="18">
        <v>10479.36</v>
      </c>
      <c r="J302" s="18">
        <v>0</v>
      </c>
      <c r="K302" s="18">
        <v>0</v>
      </c>
      <c r="L302" s="19">
        <f t="shared" si="14"/>
        <v>51449.62</v>
      </c>
      <c r="M302" s="8"/>
      <c r="N302" s="264"/>
    </row>
    <row r="303" spans="1:14" s="3" customFormat="1" ht="12.2" customHeight="1" x14ac:dyDescent="0.15">
      <c r="A303" s="1" t="s">
        <v>444</v>
      </c>
      <c r="B303" s="2" t="s">
        <v>358</v>
      </c>
      <c r="C303" s="2" t="s">
        <v>296</v>
      </c>
      <c r="D303" s="2" t="s">
        <v>431</v>
      </c>
      <c r="E303" s="6">
        <v>2300</v>
      </c>
      <c r="F303" s="18">
        <v>0</v>
      </c>
      <c r="G303" s="18">
        <v>0</v>
      </c>
      <c r="H303" s="18">
        <v>22000.34</v>
      </c>
      <c r="I303" s="18">
        <v>39838.97</v>
      </c>
      <c r="J303" s="18">
        <v>0</v>
      </c>
      <c r="K303" s="18">
        <v>0</v>
      </c>
      <c r="L303" s="19">
        <f t="shared" si="14"/>
        <v>61839.31</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0</v>
      </c>
      <c r="G306" s="18">
        <v>0</v>
      </c>
      <c r="H306" s="18">
        <v>77544.3</v>
      </c>
      <c r="I306" s="18">
        <v>24189.49</v>
      </c>
      <c r="J306" s="18">
        <v>0</v>
      </c>
      <c r="K306" s="18">
        <v>0</v>
      </c>
      <c r="L306" s="19">
        <f t="shared" si="14"/>
        <v>101733.79000000001</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41360.85</v>
      </c>
      <c r="G310" s="42">
        <f t="shared" si="15"/>
        <v>12699.91</v>
      </c>
      <c r="H310" s="42">
        <f t="shared" si="15"/>
        <v>296568.34000000003</v>
      </c>
      <c r="I310" s="42">
        <f t="shared" si="15"/>
        <v>145111.78</v>
      </c>
      <c r="J310" s="42">
        <f t="shared" si="15"/>
        <v>89160.61</v>
      </c>
      <c r="K310" s="42">
        <f t="shared" si="15"/>
        <v>250</v>
      </c>
      <c r="L310" s="41">
        <f t="shared" si="15"/>
        <v>585151.49</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32620.080000000002</v>
      </c>
      <c r="G315" s="18">
        <v>12929.78</v>
      </c>
      <c r="H315" s="18">
        <v>177345.46</v>
      </c>
      <c r="I315" s="18">
        <v>74272.47</v>
      </c>
      <c r="J315" s="18">
        <v>101325.73</v>
      </c>
      <c r="K315" s="18">
        <v>0</v>
      </c>
      <c r="L315" s="19">
        <f>SUM(F315:K315)</f>
        <v>398493.52</v>
      </c>
      <c r="M315" s="8"/>
      <c r="N315" s="2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4"/>
    </row>
    <row r="317" spans="1:14" s="3" customFormat="1" ht="12.2" customHeight="1" x14ac:dyDescent="0.15">
      <c r="A317" s="1" t="s">
        <v>440</v>
      </c>
      <c r="B317" s="2" t="s">
        <v>359</v>
      </c>
      <c r="C317" s="2" t="s">
        <v>292</v>
      </c>
      <c r="D317" s="2" t="s">
        <v>431</v>
      </c>
      <c r="E317" s="6">
        <v>1300</v>
      </c>
      <c r="F317" s="18">
        <v>1915.48</v>
      </c>
      <c r="G317" s="18">
        <v>485.42</v>
      </c>
      <c r="H317" s="18">
        <v>5539</v>
      </c>
      <c r="I317" s="18">
        <v>58472.06</v>
      </c>
      <c r="J317" s="18">
        <v>75596.479999999996</v>
      </c>
      <c r="K317" s="18">
        <v>4620.13</v>
      </c>
      <c r="L317" s="19">
        <f>SUM(F317:K317)</f>
        <v>146628.57</v>
      </c>
      <c r="M317" s="8"/>
      <c r="N317" s="2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4"/>
    </row>
    <row r="321" spans="1:14" s="3" customFormat="1" ht="12.2" customHeight="1" x14ac:dyDescent="0.15">
      <c r="A321" s="1" t="s">
        <v>443</v>
      </c>
      <c r="B321" s="2" t="s">
        <v>359</v>
      </c>
      <c r="C321" s="2" t="s">
        <v>295</v>
      </c>
      <c r="D321" s="2" t="s">
        <v>431</v>
      </c>
      <c r="E321" s="6">
        <v>2200</v>
      </c>
      <c r="F321" s="18">
        <v>0</v>
      </c>
      <c r="G321" s="18">
        <v>0</v>
      </c>
      <c r="H321" s="18">
        <v>26786.2</v>
      </c>
      <c r="I321" s="18">
        <v>11909.17</v>
      </c>
      <c r="J321" s="18">
        <v>0</v>
      </c>
      <c r="K321" s="18">
        <v>0</v>
      </c>
      <c r="L321" s="19">
        <f t="shared" si="16"/>
        <v>38695.370000000003</v>
      </c>
      <c r="M321" s="8"/>
      <c r="N321" s="264"/>
    </row>
    <row r="322" spans="1:14" s="3" customFormat="1" ht="12.2" customHeight="1" x14ac:dyDescent="0.15">
      <c r="A322" s="1" t="s">
        <v>444</v>
      </c>
      <c r="B322" s="2" t="s">
        <v>359</v>
      </c>
      <c r="C322" s="2" t="s">
        <v>296</v>
      </c>
      <c r="D322" s="2" t="s">
        <v>431</v>
      </c>
      <c r="E322" s="6">
        <v>2300</v>
      </c>
      <c r="F322" s="18">
        <v>0</v>
      </c>
      <c r="G322" s="18">
        <v>0</v>
      </c>
      <c r="H322" s="18">
        <v>25002.080000000002</v>
      </c>
      <c r="I322" s="18">
        <v>45274.62</v>
      </c>
      <c r="J322" s="18">
        <v>0</v>
      </c>
      <c r="K322" s="18">
        <v>0</v>
      </c>
      <c r="L322" s="19">
        <f t="shared" si="16"/>
        <v>70276.700000000012</v>
      </c>
      <c r="M322" s="8"/>
      <c r="N322" s="264"/>
    </row>
    <row r="323" spans="1:14" s="3" customFormat="1" ht="12.2" customHeight="1" x14ac:dyDescent="0.15">
      <c r="A323" s="1" t="s">
        <v>445</v>
      </c>
      <c r="B323" s="2" t="s">
        <v>359</v>
      </c>
      <c r="C323" s="2" t="s">
        <v>297</v>
      </c>
      <c r="D323" s="2" t="s">
        <v>431</v>
      </c>
      <c r="E323" s="6">
        <v>2400</v>
      </c>
      <c r="F323" s="18">
        <v>3990</v>
      </c>
      <c r="G323" s="18">
        <v>1015.46</v>
      </c>
      <c r="H323" s="18">
        <v>0</v>
      </c>
      <c r="I323" s="18">
        <v>0</v>
      </c>
      <c r="J323" s="18">
        <v>0</v>
      </c>
      <c r="K323" s="18">
        <v>0</v>
      </c>
      <c r="L323" s="19">
        <f t="shared" si="16"/>
        <v>5005.46</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2" customHeight="1" x14ac:dyDescent="0.15">
      <c r="A325" s="1" t="s">
        <v>447</v>
      </c>
      <c r="B325" s="2" t="s">
        <v>359</v>
      </c>
      <c r="C325" s="2" t="s">
        <v>299</v>
      </c>
      <c r="D325" s="2" t="s">
        <v>431</v>
      </c>
      <c r="E325" s="6">
        <v>2600</v>
      </c>
      <c r="F325" s="18">
        <v>0</v>
      </c>
      <c r="G325" s="18">
        <v>0</v>
      </c>
      <c r="H325" s="18">
        <v>88124.49</v>
      </c>
      <c r="I325" s="18">
        <v>27489.919999999998</v>
      </c>
      <c r="J325" s="18">
        <v>0</v>
      </c>
      <c r="K325" s="18">
        <v>0</v>
      </c>
      <c r="L325" s="19">
        <f t="shared" si="16"/>
        <v>115614.41</v>
      </c>
      <c r="M325" s="8"/>
      <c r="N325" s="2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38525.560000000005</v>
      </c>
      <c r="G329" s="42">
        <f t="shared" si="17"/>
        <v>14430.66</v>
      </c>
      <c r="H329" s="42">
        <f t="shared" si="17"/>
        <v>322797.23</v>
      </c>
      <c r="I329" s="42">
        <f t="shared" si="17"/>
        <v>217418.23999999999</v>
      </c>
      <c r="J329" s="42">
        <f t="shared" si="17"/>
        <v>176922.21</v>
      </c>
      <c r="K329" s="42">
        <f t="shared" si="17"/>
        <v>4620.13</v>
      </c>
      <c r="L329" s="41">
        <f t="shared" si="17"/>
        <v>774714.03000000014</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4"/>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563116.01000000013</v>
      </c>
      <c r="G339" s="41">
        <f t="shared" si="20"/>
        <v>255245.8</v>
      </c>
      <c r="H339" s="41">
        <f t="shared" si="20"/>
        <v>1311672.2899999998</v>
      </c>
      <c r="I339" s="41">
        <f t="shared" si="20"/>
        <v>554195.80000000005</v>
      </c>
      <c r="J339" s="41">
        <f t="shared" si="20"/>
        <v>424620.55999999994</v>
      </c>
      <c r="K339" s="41">
        <f t="shared" si="20"/>
        <v>10438.66</v>
      </c>
      <c r="L339" s="41">
        <f t="shared" si="20"/>
        <v>3119289.1200000006</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563116.01000000013</v>
      </c>
      <c r="G353" s="41">
        <f>G339</f>
        <v>255245.8</v>
      </c>
      <c r="H353" s="41">
        <f>H339</f>
        <v>1311672.2899999998</v>
      </c>
      <c r="I353" s="41">
        <f>I339</f>
        <v>554195.80000000005</v>
      </c>
      <c r="J353" s="41">
        <f>J339</f>
        <v>424620.55999999994</v>
      </c>
      <c r="K353" s="47">
        <f>K339+K352</f>
        <v>10438.66</v>
      </c>
      <c r="L353" s="41">
        <f>L339+L352</f>
        <v>3119289.1200000006</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0</v>
      </c>
      <c r="G359" s="18">
        <v>0</v>
      </c>
      <c r="H359" s="18">
        <v>245412.37</v>
      </c>
      <c r="I359" s="18">
        <v>35322.300000000003</v>
      </c>
      <c r="J359" s="18">
        <v>0</v>
      </c>
      <c r="K359" s="18">
        <v>0</v>
      </c>
      <c r="L359" s="13">
        <f>SUM(F359:K359)</f>
        <v>280734.67</v>
      </c>
      <c r="M359" s="8"/>
      <c r="N359" s="264"/>
    </row>
    <row r="360" spans="1:22" s="3" customFormat="1" ht="12.2" customHeight="1" x14ac:dyDescent="0.15">
      <c r="A360" s="1" t="s">
        <v>542</v>
      </c>
      <c r="B360" s="2" t="s">
        <v>366</v>
      </c>
      <c r="C360" s="6">
        <v>2</v>
      </c>
      <c r="D360" s="2" t="s">
        <v>431</v>
      </c>
      <c r="E360" s="6"/>
      <c r="F360" s="18">
        <v>0</v>
      </c>
      <c r="G360" s="18">
        <v>0</v>
      </c>
      <c r="H360" s="18">
        <v>216543.65</v>
      </c>
      <c r="I360" s="18">
        <v>31167.25</v>
      </c>
      <c r="J360" s="18">
        <v>0</v>
      </c>
      <c r="K360" s="18">
        <v>0</v>
      </c>
      <c r="L360" s="19">
        <f>SUM(F360:K360)</f>
        <v>247710.9</v>
      </c>
      <c r="M360" s="8"/>
      <c r="N360" s="264"/>
    </row>
    <row r="361" spans="1:22" s="3" customFormat="1" ht="12.2" customHeight="1" x14ac:dyDescent="0.15">
      <c r="A361" s="3" t="s">
        <v>543</v>
      </c>
      <c r="B361" s="2" t="s">
        <v>366</v>
      </c>
      <c r="C361" s="6">
        <v>3</v>
      </c>
      <c r="D361" s="2" t="s">
        <v>431</v>
      </c>
      <c r="E361" s="6"/>
      <c r="F361" s="18">
        <v>0</v>
      </c>
      <c r="G361" s="18">
        <v>0</v>
      </c>
      <c r="H361" s="18">
        <v>246088.98</v>
      </c>
      <c r="I361" s="18">
        <v>35419.69</v>
      </c>
      <c r="J361" s="18">
        <v>0</v>
      </c>
      <c r="K361" s="18">
        <v>0</v>
      </c>
      <c r="L361" s="19">
        <f>SUM(F361:K361)</f>
        <v>281508.67000000004</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708045</v>
      </c>
      <c r="I363" s="47">
        <f t="shared" si="22"/>
        <v>101909.24</v>
      </c>
      <c r="J363" s="47">
        <f t="shared" si="22"/>
        <v>0</v>
      </c>
      <c r="K363" s="47">
        <f t="shared" si="22"/>
        <v>0</v>
      </c>
      <c r="L363" s="47">
        <f t="shared" si="22"/>
        <v>809954.24</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18244</v>
      </c>
      <c r="G368" s="18">
        <v>16097.9</v>
      </c>
      <c r="H368" s="18">
        <v>18294.310000000001</v>
      </c>
      <c r="I368" s="56">
        <f>SUM(F368:H368)</f>
        <v>52636.210000000006</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17078.3</v>
      </c>
      <c r="G369" s="63">
        <v>15069.35</v>
      </c>
      <c r="H369" s="63">
        <v>17125.38</v>
      </c>
      <c r="I369" s="56">
        <f>SUM(F369:H369)</f>
        <v>49273.03</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35322.300000000003</v>
      </c>
      <c r="G370" s="47">
        <f>SUM(G368:G369)</f>
        <v>31167.25</v>
      </c>
      <c r="H370" s="47">
        <f>SUM(H368:H369)</f>
        <v>35419.69</v>
      </c>
      <c r="I370" s="47">
        <f>SUM(I368:I369)</f>
        <v>101909.24</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v>0</v>
      </c>
      <c r="G390" s="18">
        <v>550000</v>
      </c>
      <c r="H390" s="18">
        <v>793.92</v>
      </c>
      <c r="I390" s="18">
        <v>0</v>
      </c>
      <c r="J390" s="24" t="s">
        <v>288</v>
      </c>
      <c r="K390" s="24" t="s">
        <v>288</v>
      </c>
      <c r="L390" s="56">
        <f t="shared" si="25"/>
        <v>550793.92000000004</v>
      </c>
      <c r="M390" s="8"/>
      <c r="N390" s="264"/>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550000</v>
      </c>
      <c r="H394" s="139">
        <f>SUM(H388:H393)</f>
        <v>793.92</v>
      </c>
      <c r="I394" s="65">
        <f>SUM(I388:I393)</f>
        <v>0</v>
      </c>
      <c r="J394" s="45" t="s">
        <v>288</v>
      </c>
      <c r="K394" s="45" t="s">
        <v>288</v>
      </c>
      <c r="L394" s="47">
        <f>SUM(L388:L393)</f>
        <v>550793.92000000004</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v>0</v>
      </c>
      <c r="G396" s="18">
        <v>25000</v>
      </c>
      <c r="H396" s="18">
        <v>218.25</v>
      </c>
      <c r="I396" s="18">
        <v>0</v>
      </c>
      <c r="J396" s="24" t="s">
        <v>288</v>
      </c>
      <c r="K396" s="24" t="s">
        <v>288</v>
      </c>
      <c r="L396" s="56">
        <f t="shared" ref="L396:L401" si="26">SUM(F396:K396)</f>
        <v>25218.25</v>
      </c>
      <c r="M396" s="8"/>
      <c r="N396" s="264"/>
    </row>
    <row r="397" spans="1:14" s="3" customFormat="1" ht="12.2" customHeight="1" x14ac:dyDescent="0.15">
      <c r="A397" s="79" t="s">
        <v>557</v>
      </c>
      <c r="B397" s="2" t="s">
        <v>381</v>
      </c>
      <c r="C397" s="6">
        <v>9</v>
      </c>
      <c r="D397" s="2" t="s">
        <v>432</v>
      </c>
      <c r="E397" s="6"/>
      <c r="F397" s="18">
        <v>0</v>
      </c>
      <c r="G397" s="18">
        <v>0</v>
      </c>
      <c r="H397" s="18">
        <v>0</v>
      </c>
      <c r="I397" s="18">
        <v>0</v>
      </c>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v>0</v>
      </c>
      <c r="G398" s="18">
        <v>0</v>
      </c>
      <c r="H398" s="18">
        <v>326.83</v>
      </c>
      <c r="I398" s="18">
        <v>0</v>
      </c>
      <c r="J398" s="24" t="s">
        <v>288</v>
      </c>
      <c r="K398" s="24" t="s">
        <v>288</v>
      </c>
      <c r="L398" s="56">
        <f t="shared" si="26"/>
        <v>326.83</v>
      </c>
      <c r="M398" s="8"/>
      <c r="N398" s="264"/>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v>0</v>
      </c>
      <c r="G401" s="18">
        <v>95000</v>
      </c>
      <c r="H401" s="18">
        <v>365.4</v>
      </c>
      <c r="I401" s="18">
        <v>0</v>
      </c>
      <c r="J401" s="24" t="s">
        <v>288</v>
      </c>
      <c r="K401" s="24" t="s">
        <v>288</v>
      </c>
      <c r="L401" s="56">
        <f t="shared" si="26"/>
        <v>95365.4</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120000</v>
      </c>
      <c r="H402" s="47">
        <f>SUM(H396:H401)</f>
        <v>910.4799999999999</v>
      </c>
      <c r="I402" s="47">
        <f>SUM(I396:I401)</f>
        <v>0</v>
      </c>
      <c r="J402" s="45" t="s">
        <v>288</v>
      </c>
      <c r="K402" s="45" t="s">
        <v>288</v>
      </c>
      <c r="L402" s="47">
        <f>SUM(L396:L401)</f>
        <v>120910.48</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4"/>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4"/>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670000</v>
      </c>
      <c r="H409" s="47">
        <f>H394+H402+H408</f>
        <v>1704.3999999999999</v>
      </c>
      <c r="I409" s="47">
        <f>I394+I402+I408</f>
        <v>0</v>
      </c>
      <c r="J409" s="24" t="s">
        <v>288</v>
      </c>
      <c r="K409" s="24" t="s">
        <v>288</v>
      </c>
      <c r="L409" s="47">
        <f>L394+L402+L408</f>
        <v>671704.4</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20950</v>
      </c>
      <c r="I416" s="18">
        <v>176200.99</v>
      </c>
      <c r="J416" s="18">
        <v>0</v>
      </c>
      <c r="K416" s="18">
        <v>0</v>
      </c>
      <c r="L416" s="56">
        <f t="shared" si="27"/>
        <v>197150.99</v>
      </c>
      <c r="M416" s="8"/>
      <c r="N416" s="264"/>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4"/>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4"/>
    </row>
    <row r="419" spans="1:21" s="3" customFormat="1" ht="12.2" customHeight="1" thickBot="1" x14ac:dyDescent="0.2">
      <c r="A419" s="79" t="s">
        <v>555</v>
      </c>
      <c r="B419" s="6">
        <v>17</v>
      </c>
      <c r="C419" s="6">
        <v>6</v>
      </c>
      <c r="D419" s="2" t="s">
        <v>432</v>
      </c>
      <c r="E419" s="6"/>
      <c r="F419" s="18">
        <v>0</v>
      </c>
      <c r="G419" s="18">
        <v>0</v>
      </c>
      <c r="H419" s="18">
        <v>0</v>
      </c>
      <c r="I419" s="18">
        <v>0</v>
      </c>
      <c r="J419" s="18">
        <v>12768</v>
      </c>
      <c r="K419" s="18">
        <v>0</v>
      </c>
      <c r="L419" s="56">
        <f t="shared" si="27"/>
        <v>12768</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20950</v>
      </c>
      <c r="I420" s="139">
        <f t="shared" si="28"/>
        <v>176200.99</v>
      </c>
      <c r="J420" s="139">
        <f t="shared" si="28"/>
        <v>12768</v>
      </c>
      <c r="K420" s="139">
        <f t="shared" si="28"/>
        <v>0</v>
      </c>
      <c r="L420" s="47">
        <f t="shared" si="28"/>
        <v>209918.99</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4"/>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4"/>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4"/>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4"/>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4"/>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7"/>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2"/>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4"/>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20950</v>
      </c>
      <c r="I435" s="47">
        <f t="shared" si="32"/>
        <v>176200.99</v>
      </c>
      <c r="J435" s="47">
        <f t="shared" si="32"/>
        <v>12768</v>
      </c>
      <c r="K435" s="47">
        <f t="shared" si="32"/>
        <v>0</v>
      </c>
      <c r="L435" s="47">
        <f t="shared" si="32"/>
        <v>209918.99</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3984012.11</v>
      </c>
      <c r="G441" s="18">
        <v>0</v>
      </c>
      <c r="H441" s="18">
        <v>0</v>
      </c>
      <c r="I441" s="56">
        <f t="shared" si="33"/>
        <v>3984012.11</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0</v>
      </c>
      <c r="G443" s="18">
        <v>0</v>
      </c>
      <c r="H443" s="18">
        <v>0</v>
      </c>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3984012.11</v>
      </c>
      <c r="G447" s="13">
        <f>SUM(G440:G446)</f>
        <v>0</v>
      </c>
      <c r="H447" s="13">
        <f>SUM(H440:H446)</f>
        <v>0</v>
      </c>
      <c r="I447" s="13">
        <f>SUM(I440:I446)</f>
        <v>3984012.11</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3984012.11</v>
      </c>
      <c r="G460" s="18">
        <v>0</v>
      </c>
      <c r="H460" s="18">
        <v>0</v>
      </c>
      <c r="I460" s="56">
        <f t="shared" si="34"/>
        <v>3984012.11</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3984012.11</v>
      </c>
      <c r="G461" s="83">
        <f>SUM(G455:G460)</f>
        <v>0</v>
      </c>
      <c r="H461" s="83">
        <f>SUM(H455:H460)</f>
        <v>0</v>
      </c>
      <c r="I461" s="83">
        <f>SUM(I455:I460)</f>
        <v>3984012.11</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3984012.11</v>
      </c>
      <c r="G462" s="42">
        <f>G453+G461</f>
        <v>0</v>
      </c>
      <c r="H462" s="42">
        <f>H453+H461</f>
        <v>0</v>
      </c>
      <c r="I462" s="42">
        <f>I453+I461</f>
        <v>3984012.11</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2810445.37</v>
      </c>
      <c r="G466" s="18">
        <v>927</v>
      </c>
      <c r="H466" s="18">
        <v>0</v>
      </c>
      <c r="I466" s="18">
        <v>0</v>
      </c>
      <c r="J466" s="18">
        <v>3522226.7</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49126049.5</v>
      </c>
      <c r="G469" s="18">
        <v>809954.24</v>
      </c>
      <c r="H469" s="18">
        <v>3119289.12</v>
      </c>
      <c r="I469" s="18">
        <v>0</v>
      </c>
      <c r="J469" s="18">
        <v>671704.4</v>
      </c>
      <c r="K469" s="24" t="s">
        <v>288</v>
      </c>
      <c r="L469" s="24" t="s">
        <v>288</v>
      </c>
      <c r="N469" s="263"/>
    </row>
    <row r="470" spans="1:14" s="52" customFormat="1" ht="12.2" customHeight="1" x14ac:dyDescent="0.2">
      <c r="A470" s="93" t="s">
        <v>611</v>
      </c>
      <c r="B470" s="75">
        <v>19</v>
      </c>
      <c r="C470" s="80">
        <v>3</v>
      </c>
      <c r="D470" s="2" t="s">
        <v>432</v>
      </c>
      <c r="E470" s="80"/>
      <c r="F470" s="18">
        <v>0</v>
      </c>
      <c r="G470" s="18">
        <v>0</v>
      </c>
      <c r="H470" s="18">
        <v>0</v>
      </c>
      <c r="I470" s="18">
        <v>0</v>
      </c>
      <c r="J470" s="18">
        <v>0</v>
      </c>
      <c r="K470" s="24" t="s">
        <v>288</v>
      </c>
      <c r="L470" s="24" t="s">
        <v>288</v>
      </c>
      <c r="N470" s="263"/>
    </row>
    <row r="471" spans="1:14" s="52" customFormat="1" ht="12.2" customHeight="1" x14ac:dyDescent="0.2">
      <c r="A471" s="92" t="s">
        <v>425</v>
      </c>
      <c r="B471" s="75">
        <v>19</v>
      </c>
      <c r="C471" s="80">
        <v>4</v>
      </c>
      <c r="D471" s="2" t="s">
        <v>432</v>
      </c>
      <c r="E471" s="80"/>
      <c r="F471" s="53">
        <f>SUM(F469:F470)</f>
        <v>49126049.5</v>
      </c>
      <c r="G471" s="53">
        <f>SUM(G469:G470)</f>
        <v>809954.24</v>
      </c>
      <c r="H471" s="53">
        <f>SUM(H469:H470)</f>
        <v>3119289.12</v>
      </c>
      <c r="I471" s="53">
        <f>SUM(I469:I470)</f>
        <v>0</v>
      </c>
      <c r="J471" s="53">
        <f>SUM(J469:J470)</f>
        <v>671704.4</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45860867.009999998</v>
      </c>
      <c r="G473" s="18">
        <v>809954.24</v>
      </c>
      <c r="H473" s="18">
        <v>3119289.12</v>
      </c>
      <c r="I473" s="18">
        <v>0</v>
      </c>
      <c r="J473" s="18">
        <v>209918.99</v>
      </c>
      <c r="K473" s="24" t="s">
        <v>288</v>
      </c>
      <c r="L473" s="24" t="s">
        <v>288</v>
      </c>
      <c r="N473" s="263"/>
    </row>
    <row r="474" spans="1:14" s="52" customFormat="1" ht="12.2" customHeight="1" x14ac:dyDescent="0.2">
      <c r="A474" s="93" t="s">
        <v>613</v>
      </c>
      <c r="B474" s="75">
        <v>19</v>
      </c>
      <c r="C474" s="80">
        <v>6</v>
      </c>
      <c r="D474" s="2" t="s">
        <v>432</v>
      </c>
      <c r="E474" s="80"/>
      <c r="F474" s="18">
        <v>0</v>
      </c>
      <c r="G474" s="18">
        <v>0</v>
      </c>
      <c r="H474" s="18">
        <v>0</v>
      </c>
      <c r="I474" s="18">
        <v>0</v>
      </c>
      <c r="J474" s="18">
        <v>0</v>
      </c>
      <c r="K474" s="24" t="s">
        <v>288</v>
      </c>
      <c r="L474" s="24" t="s">
        <v>288</v>
      </c>
      <c r="N474" s="263"/>
    </row>
    <row r="475" spans="1:14" s="52" customFormat="1" ht="12.2" customHeight="1" x14ac:dyDescent="0.2">
      <c r="A475" s="92" t="s">
        <v>426</v>
      </c>
      <c r="B475" s="75">
        <v>19</v>
      </c>
      <c r="C475" s="80">
        <v>7</v>
      </c>
      <c r="D475" s="2" t="s">
        <v>432</v>
      </c>
      <c r="E475" s="80"/>
      <c r="F475" s="53">
        <f>SUM(F473:F474)</f>
        <v>45860867.009999998</v>
      </c>
      <c r="G475" s="53">
        <f>SUM(G473:G474)</f>
        <v>809954.24</v>
      </c>
      <c r="H475" s="53">
        <f>SUM(H473:H474)</f>
        <v>3119289.12</v>
      </c>
      <c r="I475" s="53">
        <f>SUM(I473:I474)</f>
        <v>0</v>
      </c>
      <c r="J475" s="53">
        <f>SUM(J473:J474)</f>
        <v>209918.99</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6075627.8599999994</v>
      </c>
      <c r="G477" s="53">
        <f>(G466+G471)- G475</f>
        <v>927</v>
      </c>
      <c r="H477" s="53">
        <f>(H466+H471)- H475</f>
        <v>0</v>
      </c>
      <c r="I477" s="53">
        <f>(I466+I471)- I475</f>
        <v>0</v>
      </c>
      <c r="J477" s="53">
        <f>(J466+J471)- J475</f>
        <v>3984012.1100000003</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v>0</v>
      </c>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10</v>
      </c>
      <c r="G491" s="154">
        <v>5</v>
      </c>
      <c r="H491" s="154">
        <v>0</v>
      </c>
      <c r="I491" s="154">
        <v>0</v>
      </c>
      <c r="J491" s="154">
        <v>0</v>
      </c>
      <c r="K491" s="24" t="s">
        <v>288</v>
      </c>
      <c r="L491" s="24" t="s">
        <v>288</v>
      </c>
      <c r="N491" s="263"/>
    </row>
    <row r="492" spans="1:14" s="52" customFormat="1" ht="12.2" customHeight="1" x14ac:dyDescent="0.2">
      <c r="A492" s="22" t="s">
        <v>615</v>
      </c>
      <c r="B492" s="75">
        <v>20</v>
      </c>
      <c r="C492" s="115">
        <v>2</v>
      </c>
      <c r="D492" s="2" t="s">
        <v>432</v>
      </c>
      <c r="E492" s="115"/>
      <c r="F492" s="155" t="s">
        <v>1673</v>
      </c>
      <c r="G492" s="155" t="s">
        <v>1674</v>
      </c>
      <c r="H492" s="154">
        <v>0</v>
      </c>
      <c r="I492" s="154">
        <v>0</v>
      </c>
      <c r="J492" s="154">
        <v>0</v>
      </c>
      <c r="K492" s="24" t="s">
        <v>288</v>
      </c>
      <c r="L492" s="24" t="s">
        <v>288</v>
      </c>
      <c r="N492" s="263"/>
    </row>
    <row r="493" spans="1:14" s="52" customFormat="1" ht="12.2" customHeight="1" x14ac:dyDescent="0.2">
      <c r="A493" s="22" t="s">
        <v>616</v>
      </c>
      <c r="B493" s="75">
        <v>20</v>
      </c>
      <c r="C493" s="115">
        <v>3</v>
      </c>
      <c r="D493" s="2" t="s">
        <v>432</v>
      </c>
      <c r="E493" s="115"/>
      <c r="F493" s="155" t="s">
        <v>1675</v>
      </c>
      <c r="G493" s="155" t="s">
        <v>1676</v>
      </c>
      <c r="H493" s="154">
        <v>0</v>
      </c>
      <c r="I493" s="154">
        <v>0</v>
      </c>
      <c r="J493" s="154">
        <v>0</v>
      </c>
      <c r="K493" s="24" t="s">
        <v>288</v>
      </c>
      <c r="L493" s="24" t="s">
        <v>288</v>
      </c>
      <c r="N493" s="263"/>
    </row>
    <row r="494" spans="1:14" s="52" customFormat="1" ht="12.2" customHeight="1" x14ac:dyDescent="0.2">
      <c r="A494" s="22" t="s">
        <v>617</v>
      </c>
      <c r="B494" s="75">
        <v>20</v>
      </c>
      <c r="C494" s="115">
        <v>4</v>
      </c>
      <c r="D494" s="2" t="s">
        <v>432</v>
      </c>
      <c r="E494" s="115"/>
      <c r="F494" s="18">
        <v>3750000</v>
      </c>
      <c r="G494" s="18">
        <v>920200</v>
      </c>
      <c r="H494" s="18">
        <v>0</v>
      </c>
      <c r="I494" s="18">
        <v>0</v>
      </c>
      <c r="J494" s="18">
        <v>0</v>
      </c>
      <c r="K494" s="24" t="s">
        <v>288</v>
      </c>
      <c r="L494" s="24" t="s">
        <v>288</v>
      </c>
      <c r="N494" s="263"/>
    </row>
    <row r="495" spans="1:14" s="52" customFormat="1" ht="12.2" customHeight="1" x14ac:dyDescent="0.2">
      <c r="A495" s="22" t="s">
        <v>618</v>
      </c>
      <c r="B495" s="75">
        <v>20</v>
      </c>
      <c r="C495" s="115">
        <v>5</v>
      </c>
      <c r="D495" s="2" t="s">
        <v>432</v>
      </c>
      <c r="E495" s="115"/>
      <c r="F495" s="18">
        <v>1.69</v>
      </c>
      <c r="G495" s="18">
        <v>2.2200000000000002</v>
      </c>
      <c r="H495" s="18">
        <v>0</v>
      </c>
      <c r="I495" s="18">
        <v>0</v>
      </c>
      <c r="J495" s="18">
        <v>0</v>
      </c>
      <c r="K495" s="24" t="s">
        <v>288</v>
      </c>
      <c r="L495" s="24" t="s">
        <v>288</v>
      </c>
      <c r="N495" s="263"/>
    </row>
    <row r="496" spans="1:14" s="52" customFormat="1" ht="12.2" customHeight="1" x14ac:dyDescent="0.2">
      <c r="A496" s="22" t="s">
        <v>619</v>
      </c>
      <c r="B496" s="75">
        <v>20</v>
      </c>
      <c r="C496" s="115">
        <v>6</v>
      </c>
      <c r="D496" s="2" t="s">
        <v>432</v>
      </c>
      <c r="E496" s="115"/>
      <c r="F496" s="18">
        <v>1065000</v>
      </c>
      <c r="G496" s="18">
        <v>735000</v>
      </c>
      <c r="H496" s="18">
        <v>0</v>
      </c>
      <c r="I496" s="18">
        <v>0</v>
      </c>
      <c r="J496" s="18">
        <v>0</v>
      </c>
      <c r="K496" s="53">
        <f>SUM(F496:J496)</f>
        <v>1800000</v>
      </c>
      <c r="L496" s="24" t="s">
        <v>288</v>
      </c>
      <c r="N496" s="263"/>
    </row>
    <row r="497" spans="1:14" s="52" customFormat="1" ht="12.2" customHeight="1" x14ac:dyDescent="0.2">
      <c r="A497" s="22" t="s">
        <v>620</v>
      </c>
      <c r="B497" s="75">
        <v>20</v>
      </c>
      <c r="C497" s="115">
        <v>7</v>
      </c>
      <c r="D497" s="2" t="s">
        <v>432</v>
      </c>
      <c r="E497" s="115"/>
      <c r="F497" s="18">
        <v>0</v>
      </c>
      <c r="G497" s="18">
        <v>0</v>
      </c>
      <c r="H497" s="18">
        <v>0</v>
      </c>
      <c r="I497" s="18">
        <v>0</v>
      </c>
      <c r="J497" s="18">
        <v>0</v>
      </c>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355000</v>
      </c>
      <c r="G498" s="18">
        <v>185000</v>
      </c>
      <c r="H498" s="18">
        <v>0</v>
      </c>
      <c r="I498" s="18">
        <v>0</v>
      </c>
      <c r="J498" s="18">
        <v>0</v>
      </c>
      <c r="K498" s="53">
        <f t="shared" si="35"/>
        <v>540000</v>
      </c>
      <c r="L498" s="24" t="s">
        <v>288</v>
      </c>
      <c r="N498" s="263"/>
    </row>
    <row r="499" spans="1:14" s="52" customFormat="1" ht="12.2" customHeight="1" x14ac:dyDescent="0.2">
      <c r="A499" s="200" t="s">
        <v>622</v>
      </c>
      <c r="B499" s="201">
        <v>20</v>
      </c>
      <c r="C499" s="202">
        <v>9</v>
      </c>
      <c r="D499" s="203" t="s">
        <v>432</v>
      </c>
      <c r="E499" s="202"/>
      <c r="F499" s="204">
        <v>710000</v>
      </c>
      <c r="G499" s="204">
        <v>550000</v>
      </c>
      <c r="H499" s="204">
        <v>0</v>
      </c>
      <c r="I499" s="204">
        <v>0</v>
      </c>
      <c r="J499" s="204">
        <v>0</v>
      </c>
      <c r="K499" s="205">
        <f t="shared" si="35"/>
        <v>1260000</v>
      </c>
      <c r="L499" s="206" t="s">
        <v>288</v>
      </c>
      <c r="N499" s="263"/>
    </row>
    <row r="500" spans="1:14" s="52" customFormat="1" ht="12.2" customHeight="1" thickBot="1" x14ac:dyDescent="0.25">
      <c r="A500" s="22" t="s">
        <v>623</v>
      </c>
      <c r="B500" s="75">
        <v>20</v>
      </c>
      <c r="C500" s="115">
        <v>10</v>
      </c>
      <c r="D500" s="2" t="s">
        <v>432</v>
      </c>
      <c r="E500" s="115"/>
      <c r="F500" s="18">
        <v>47215</v>
      </c>
      <c r="G500" s="18">
        <v>41820</v>
      </c>
      <c r="H500" s="18">
        <v>0</v>
      </c>
      <c r="I500" s="18">
        <v>0</v>
      </c>
      <c r="J500" s="18">
        <v>0</v>
      </c>
      <c r="K500" s="53">
        <f t="shared" si="35"/>
        <v>89035</v>
      </c>
      <c r="L500" s="24" t="s">
        <v>288</v>
      </c>
      <c r="N500" s="263"/>
    </row>
    <row r="501" spans="1:14" s="52" customFormat="1" ht="12.2" customHeight="1" thickTop="1" x14ac:dyDescent="0.2">
      <c r="A501" s="139" t="s">
        <v>624</v>
      </c>
      <c r="B501" s="44">
        <v>20</v>
      </c>
      <c r="C501" s="195">
        <v>11</v>
      </c>
      <c r="D501" s="39" t="s">
        <v>432</v>
      </c>
      <c r="E501" s="195"/>
      <c r="F501" s="42">
        <f>SUM(F499:F500)</f>
        <v>757215</v>
      </c>
      <c r="G501" s="42">
        <f>SUM(G499:G500)</f>
        <v>591820</v>
      </c>
      <c r="H501" s="42">
        <f>SUM(H499:H500)</f>
        <v>0</v>
      </c>
      <c r="I501" s="42">
        <f>SUM(I499:I500)</f>
        <v>0</v>
      </c>
      <c r="J501" s="42">
        <f>SUM(J499:J500)</f>
        <v>0</v>
      </c>
      <c r="K501" s="42">
        <f t="shared" si="35"/>
        <v>1349035</v>
      </c>
      <c r="L501" s="45" t="s">
        <v>288</v>
      </c>
      <c r="N501" s="263"/>
    </row>
    <row r="502" spans="1:14" s="52" customFormat="1" ht="12.2" customHeight="1" x14ac:dyDescent="0.2">
      <c r="A502" s="200" t="s">
        <v>651</v>
      </c>
      <c r="B502" s="201">
        <v>20</v>
      </c>
      <c r="C502" s="202">
        <v>12</v>
      </c>
      <c r="D502" s="203" t="s">
        <v>432</v>
      </c>
      <c r="E502" s="202"/>
      <c r="F502" s="204">
        <v>355000</v>
      </c>
      <c r="G502" s="204">
        <v>185000</v>
      </c>
      <c r="H502" s="204">
        <v>0</v>
      </c>
      <c r="I502" s="204">
        <v>0</v>
      </c>
      <c r="J502" s="204">
        <v>0</v>
      </c>
      <c r="K502" s="205">
        <f t="shared" si="35"/>
        <v>540000</v>
      </c>
      <c r="L502" s="206" t="s">
        <v>288</v>
      </c>
      <c r="N502" s="263"/>
    </row>
    <row r="503" spans="1:14" s="52" customFormat="1" ht="12.2" customHeight="1" thickBot="1" x14ac:dyDescent="0.25">
      <c r="A503" s="22" t="s">
        <v>625</v>
      </c>
      <c r="B503" s="75">
        <v>20</v>
      </c>
      <c r="C503" s="115">
        <v>13</v>
      </c>
      <c r="D503" s="2" t="s">
        <v>432</v>
      </c>
      <c r="E503" s="115"/>
      <c r="F503" s="18">
        <v>32660</v>
      </c>
      <c r="G503" s="18">
        <v>23332.5</v>
      </c>
      <c r="H503" s="18">
        <v>0</v>
      </c>
      <c r="I503" s="18">
        <v>0</v>
      </c>
      <c r="J503" s="18">
        <v>0</v>
      </c>
      <c r="K503" s="53">
        <f t="shared" si="35"/>
        <v>55992.5</v>
      </c>
      <c r="L503" s="24" t="s">
        <v>288</v>
      </c>
      <c r="N503" s="263"/>
    </row>
    <row r="504" spans="1:14" s="52" customFormat="1" ht="12.2" customHeight="1" thickTop="1" x14ac:dyDescent="0.2">
      <c r="A504" s="139" t="s">
        <v>626</v>
      </c>
      <c r="B504" s="44">
        <v>20</v>
      </c>
      <c r="C504" s="195">
        <v>14</v>
      </c>
      <c r="D504" s="39" t="s">
        <v>432</v>
      </c>
      <c r="E504" s="195"/>
      <c r="F504" s="42">
        <f>SUM(F502:F503)</f>
        <v>387660</v>
      </c>
      <c r="G504" s="42">
        <f>SUM(G502:G503)</f>
        <v>208332.5</v>
      </c>
      <c r="H504" s="42">
        <f>SUM(H502:H503)</f>
        <v>0</v>
      </c>
      <c r="I504" s="42">
        <f>SUM(I502:I503)</f>
        <v>0</v>
      </c>
      <c r="J504" s="42">
        <f>SUM(J502:J503)</f>
        <v>0</v>
      </c>
      <c r="K504" s="42">
        <f t="shared" si="35"/>
        <v>595992.5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v>0</v>
      </c>
      <c r="G508" s="144">
        <v>0</v>
      </c>
      <c r="H508" s="144">
        <v>0</v>
      </c>
      <c r="I508" s="144">
        <v>0</v>
      </c>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v>0</v>
      </c>
      <c r="G512" s="24" t="s">
        <v>288</v>
      </c>
      <c r="H512" s="18">
        <v>0</v>
      </c>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v>0</v>
      </c>
      <c r="G513" s="24" t="s">
        <v>288</v>
      </c>
      <c r="H513" s="18">
        <v>0</v>
      </c>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v>0</v>
      </c>
      <c r="G514" s="24" t="s">
        <v>288</v>
      </c>
      <c r="H514" s="18">
        <v>0</v>
      </c>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v>0</v>
      </c>
      <c r="G515" s="24" t="s">
        <v>288</v>
      </c>
      <c r="H515" s="18">
        <v>0</v>
      </c>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v>0</v>
      </c>
      <c r="G516" s="24" t="s">
        <v>288</v>
      </c>
      <c r="H516" s="18">
        <v>0</v>
      </c>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v>0</v>
      </c>
      <c r="H517" s="24" t="s">
        <v>288</v>
      </c>
      <c r="I517" s="18">
        <v>0</v>
      </c>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2145172.9+704874.4</f>
        <v>2850047.3</v>
      </c>
      <c r="G522" s="18">
        <f>1012281.63+327838.92</f>
        <v>1340120.55</v>
      </c>
      <c r="H522" s="18">
        <f>221001.89+152890.21</f>
        <v>373892.1</v>
      </c>
      <c r="I522" s="18">
        <f>12753.87+6363.42</f>
        <v>19117.29</v>
      </c>
      <c r="J522" s="18">
        <f>8511.34+1082</f>
        <v>9593.34</v>
      </c>
      <c r="K522" s="18">
        <v>3224.9</v>
      </c>
      <c r="L522" s="88">
        <f>SUM(F522:K522)</f>
        <v>4595995.4799999995</v>
      </c>
      <c r="N522" s="263"/>
    </row>
    <row r="523" spans="1:14" s="52" customFormat="1" ht="12.2" customHeight="1" x14ac:dyDescent="0.2">
      <c r="A523" s="22" t="s">
        <v>634</v>
      </c>
      <c r="B523" s="105">
        <v>21</v>
      </c>
      <c r="C523" s="115">
        <v>2</v>
      </c>
      <c r="D523" s="2" t="s">
        <v>432</v>
      </c>
      <c r="E523" s="115"/>
      <c r="F523" s="18">
        <f>815331.35+622274.04</f>
        <v>1437605.3900000001</v>
      </c>
      <c r="G523" s="18">
        <f>486298.81+289421.28</f>
        <v>775720.09000000008</v>
      </c>
      <c r="H523" s="18">
        <f>195103.89+134973.85</f>
        <v>330077.74</v>
      </c>
      <c r="I523" s="18">
        <f>114.72+11259.31</f>
        <v>11374.029999999999</v>
      </c>
      <c r="J523" s="18">
        <f>7513.95</f>
        <v>7513.95</v>
      </c>
      <c r="K523" s="18">
        <v>2847</v>
      </c>
      <c r="L523" s="88">
        <f>SUM(F523:K523)</f>
        <v>2565138.2000000007</v>
      </c>
      <c r="N523" s="263"/>
    </row>
    <row r="524" spans="1:14" s="52" customFormat="1" ht="12.2" customHeight="1" thickBot="1" x14ac:dyDescent="0.25">
      <c r="A524" s="22" t="s">
        <v>635</v>
      </c>
      <c r="B524" s="105">
        <v>21</v>
      </c>
      <c r="C524" s="115">
        <v>3</v>
      </c>
      <c r="D524" s="2" t="s">
        <v>432</v>
      </c>
      <c r="E524" s="115"/>
      <c r="F524" s="18">
        <f>1470626.3+707101.86</f>
        <v>2177728.16</v>
      </c>
      <c r="G524" s="18">
        <f>724504.27+328874.91</f>
        <v>1053379.18</v>
      </c>
      <c r="H524" s="18">
        <f>221700.27+153373.36+1209.32</f>
        <v>376282.95</v>
      </c>
      <c r="I524" s="18">
        <f>4018.64+12794.17</f>
        <v>16812.810000000001</v>
      </c>
      <c r="J524" s="18">
        <f>2683.26+8538.24</f>
        <v>11221.5</v>
      </c>
      <c r="K524" s="18">
        <v>3235.1</v>
      </c>
      <c r="L524" s="88">
        <f>SUM(F524:K524)</f>
        <v>3638659.7</v>
      </c>
      <c r="N524" s="263"/>
    </row>
    <row r="525" spans="1:14" s="52" customFormat="1" ht="12.2" customHeight="1" thickTop="1" x14ac:dyDescent="0.2">
      <c r="A525" s="139" t="s">
        <v>63</v>
      </c>
      <c r="B525" s="107">
        <v>21</v>
      </c>
      <c r="C525" s="195">
        <v>4</v>
      </c>
      <c r="D525" s="196" t="s">
        <v>432</v>
      </c>
      <c r="E525" s="195"/>
      <c r="F525" s="108">
        <f>SUM(F522:F524)</f>
        <v>6465380.8499999996</v>
      </c>
      <c r="G525" s="108">
        <f t="shared" ref="G525:L525" si="36">SUM(G522:G524)</f>
        <v>3169219.8200000003</v>
      </c>
      <c r="H525" s="108">
        <f t="shared" si="36"/>
        <v>1080252.79</v>
      </c>
      <c r="I525" s="108">
        <f t="shared" si="36"/>
        <v>47304.130000000005</v>
      </c>
      <c r="J525" s="108">
        <f t="shared" si="36"/>
        <v>28328.79</v>
      </c>
      <c r="K525" s="108">
        <f t="shared" si="36"/>
        <v>9307</v>
      </c>
      <c r="L525" s="89">
        <f t="shared" si="36"/>
        <v>10799793.379999999</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119206.69+143225.59+62785.64</f>
        <v>325217.92000000004</v>
      </c>
      <c r="G527" s="18">
        <v>0</v>
      </c>
      <c r="H527" s="18">
        <v>37447.81</v>
      </c>
      <c r="I527" s="18">
        <f>301.75+444.59</f>
        <v>746.33999999999992</v>
      </c>
      <c r="J527" s="18">
        <f>2642.5+276.51</f>
        <v>2919.01</v>
      </c>
      <c r="K527" s="18">
        <v>152.46</v>
      </c>
      <c r="L527" s="88">
        <f>SUM(F527:K527)</f>
        <v>366483.5400000001</v>
      </c>
      <c r="M527" s="8"/>
      <c r="N527" s="264"/>
    </row>
    <row r="528" spans="1:14" s="3" customFormat="1" ht="12.2" customHeight="1" x14ac:dyDescent="0.15">
      <c r="A528" s="22" t="s">
        <v>634</v>
      </c>
      <c r="B528" s="105">
        <v>21</v>
      </c>
      <c r="C528" s="115">
        <v>6</v>
      </c>
      <c r="D528" s="2" t="s">
        <v>432</v>
      </c>
      <c r="E528" s="115"/>
      <c r="F528" s="18">
        <f>105239.04+126443.61+55428.94</f>
        <v>287111.58999999997</v>
      </c>
      <c r="G528" s="18">
        <v>0</v>
      </c>
      <c r="H528" s="18">
        <v>33059.99</v>
      </c>
      <c r="I528" s="18">
        <f>266.39+392.5</f>
        <v>658.89</v>
      </c>
      <c r="J528" s="18">
        <f>2332.87+244.11</f>
        <v>2576.98</v>
      </c>
      <c r="K528" s="18">
        <v>134.6</v>
      </c>
      <c r="L528" s="88">
        <f>SUM(F528:K528)</f>
        <v>323542.04999999993</v>
      </c>
      <c r="M528" s="8"/>
      <c r="N528" s="264"/>
    </row>
    <row r="529" spans="1:14" s="3" customFormat="1" ht="12.2" customHeight="1" thickBot="1" x14ac:dyDescent="0.2">
      <c r="A529" s="22" t="s">
        <v>635</v>
      </c>
      <c r="B529" s="118">
        <v>21</v>
      </c>
      <c r="C529" s="118">
        <v>7</v>
      </c>
      <c r="D529" s="2" t="s">
        <v>432</v>
      </c>
      <c r="E529" s="118"/>
      <c r="F529" s="18">
        <f>119585.12+143680.28+62984.96</f>
        <v>326250.36000000004</v>
      </c>
      <c r="G529" s="18">
        <v>0</v>
      </c>
      <c r="H529" s="18">
        <v>37566.699999999997</v>
      </c>
      <c r="I529" s="18">
        <f>302.71+446.01</f>
        <v>748.72</v>
      </c>
      <c r="J529" s="18">
        <f>2650.88+277.38</f>
        <v>2928.26</v>
      </c>
      <c r="K529" s="18">
        <v>152.94</v>
      </c>
      <c r="L529" s="88">
        <f>SUM(F529:K529)</f>
        <v>367646.98000000004</v>
      </c>
      <c r="M529" s="8"/>
      <c r="N529" s="264"/>
    </row>
    <row r="530" spans="1:14" s="3" customFormat="1" ht="12.2" customHeight="1" thickTop="1" x14ac:dyDescent="0.15">
      <c r="A530" s="139" t="s">
        <v>65</v>
      </c>
      <c r="B530" s="107">
        <v>21</v>
      </c>
      <c r="C530" s="107">
        <v>8</v>
      </c>
      <c r="D530" s="158" t="s">
        <v>432</v>
      </c>
      <c r="E530" s="107"/>
      <c r="F530" s="89">
        <f>SUM(F527:F529)</f>
        <v>938579.87000000011</v>
      </c>
      <c r="G530" s="89">
        <f t="shared" ref="G530:L530" si="37">SUM(G527:G529)</f>
        <v>0</v>
      </c>
      <c r="H530" s="89">
        <f t="shared" si="37"/>
        <v>108074.49999999999</v>
      </c>
      <c r="I530" s="89">
        <f t="shared" si="37"/>
        <v>2153.9499999999998</v>
      </c>
      <c r="J530" s="89">
        <f t="shared" si="37"/>
        <v>8424.25</v>
      </c>
      <c r="K530" s="89">
        <f t="shared" si="37"/>
        <v>440</v>
      </c>
      <c r="L530" s="89">
        <f t="shared" si="37"/>
        <v>1057672.57</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f>32259.07+76479.65</f>
        <v>108738.72</v>
      </c>
      <c r="G532" s="18">
        <v>40113.769999999997</v>
      </c>
      <c r="H532" s="18">
        <v>0</v>
      </c>
      <c r="I532" s="18">
        <v>0</v>
      </c>
      <c r="J532" s="18">
        <v>0</v>
      </c>
      <c r="K532" s="18">
        <v>0</v>
      </c>
      <c r="L532" s="88">
        <f>SUM(F532:K532)</f>
        <v>148852.49</v>
      </c>
      <c r="M532" s="8"/>
      <c r="N532" s="264"/>
    </row>
    <row r="533" spans="1:14" s="3" customFormat="1" ht="12.2" customHeight="1" x14ac:dyDescent="0.15">
      <c r="A533" s="22" t="s">
        <v>634</v>
      </c>
      <c r="B533" s="105">
        <v>21</v>
      </c>
      <c r="C533" s="105">
        <v>10</v>
      </c>
      <c r="D533" s="2" t="s">
        <v>432</v>
      </c>
      <c r="E533" s="105"/>
      <c r="F533" s="18">
        <f>28479.22+67518.4</f>
        <v>95997.62</v>
      </c>
      <c r="G533" s="18">
        <v>35413.57</v>
      </c>
      <c r="H533" s="18">
        <v>0</v>
      </c>
      <c r="I533" s="18">
        <v>0</v>
      </c>
      <c r="J533" s="18">
        <v>0</v>
      </c>
      <c r="K533" s="18">
        <v>0</v>
      </c>
      <c r="L533" s="88">
        <f>SUM(F533:K533)</f>
        <v>131411.19</v>
      </c>
      <c r="M533" s="8"/>
      <c r="N533" s="264"/>
    </row>
    <row r="534" spans="1:14" s="3" customFormat="1" ht="12.2" customHeight="1" thickBot="1" x14ac:dyDescent="0.2">
      <c r="A534" s="22" t="s">
        <v>635</v>
      </c>
      <c r="B534" s="105">
        <v>21</v>
      </c>
      <c r="C534" s="105">
        <v>11</v>
      </c>
      <c r="D534" s="2" t="s">
        <v>432</v>
      </c>
      <c r="E534" s="105"/>
      <c r="F534" s="18">
        <f>32361.48+76722.45</f>
        <v>109083.93</v>
      </c>
      <c r="G534" s="18">
        <v>40241.120000000003</v>
      </c>
      <c r="H534" s="18">
        <v>0</v>
      </c>
      <c r="I534" s="18">
        <v>0</v>
      </c>
      <c r="J534" s="18">
        <v>0</v>
      </c>
      <c r="K534" s="18">
        <v>0</v>
      </c>
      <c r="L534" s="88">
        <f>SUM(F534:K534)</f>
        <v>149325.04999999999</v>
      </c>
      <c r="M534" s="8"/>
      <c r="N534" s="264"/>
    </row>
    <row r="535" spans="1:14" s="3" customFormat="1" ht="12.2" customHeight="1" thickTop="1" x14ac:dyDescent="0.15">
      <c r="A535" s="139" t="s">
        <v>67</v>
      </c>
      <c r="B535" s="107">
        <v>21</v>
      </c>
      <c r="C535" s="107">
        <v>12</v>
      </c>
      <c r="D535" s="158" t="s">
        <v>432</v>
      </c>
      <c r="E535" s="107"/>
      <c r="F535" s="89">
        <f>SUM(F532:F534)</f>
        <v>313820.27</v>
      </c>
      <c r="G535" s="89">
        <f t="shared" ref="G535:L535" si="38">SUM(G532:G534)</f>
        <v>115768.45999999999</v>
      </c>
      <c r="H535" s="89">
        <f t="shared" si="38"/>
        <v>0</v>
      </c>
      <c r="I535" s="89">
        <f t="shared" si="38"/>
        <v>0</v>
      </c>
      <c r="J535" s="89">
        <f t="shared" si="38"/>
        <v>0</v>
      </c>
      <c r="K535" s="89">
        <f t="shared" si="38"/>
        <v>0</v>
      </c>
      <c r="L535" s="89">
        <f t="shared" si="38"/>
        <v>429588.73</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4"/>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4"/>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0</v>
      </c>
      <c r="G542" s="18">
        <v>0</v>
      </c>
      <c r="H542" s="18">
        <v>210908.06</v>
      </c>
      <c r="I542" s="18">
        <v>0</v>
      </c>
      <c r="J542" s="18">
        <v>0</v>
      </c>
      <c r="K542" s="18">
        <v>0</v>
      </c>
      <c r="L542" s="88">
        <f>SUM(F542:K542)</f>
        <v>210908.06</v>
      </c>
      <c r="M542" s="8"/>
      <c r="N542" s="264"/>
    </row>
    <row r="543" spans="1:14" s="3" customFormat="1" ht="12.2" customHeight="1" x14ac:dyDescent="0.15">
      <c r="A543" s="22" t="s">
        <v>634</v>
      </c>
      <c r="B543" s="105">
        <v>21</v>
      </c>
      <c r="C543" s="105">
        <v>18</v>
      </c>
      <c r="D543" s="2" t="s">
        <v>432</v>
      </c>
      <c r="E543" s="105"/>
      <c r="F543" s="18">
        <v>0</v>
      </c>
      <c r="G543" s="18">
        <v>0</v>
      </c>
      <c r="H543" s="18">
        <v>186195.6</v>
      </c>
      <c r="I543" s="18">
        <v>0</v>
      </c>
      <c r="J543" s="18">
        <v>0</v>
      </c>
      <c r="K543" s="18">
        <v>0</v>
      </c>
      <c r="L543" s="88">
        <f>SUM(F543:K543)</f>
        <v>186195.6</v>
      </c>
      <c r="M543" s="8"/>
      <c r="N543" s="264"/>
    </row>
    <row r="544" spans="1:14" s="3" customFormat="1" ht="12.2" customHeight="1" thickBot="1" x14ac:dyDescent="0.2">
      <c r="A544" s="22" t="s">
        <v>635</v>
      </c>
      <c r="B544" s="105">
        <v>21</v>
      </c>
      <c r="C544" s="105">
        <v>19</v>
      </c>
      <c r="D544" s="2" t="s">
        <v>432</v>
      </c>
      <c r="E544" s="105"/>
      <c r="F544" s="18">
        <v>0</v>
      </c>
      <c r="G544" s="18">
        <v>0</v>
      </c>
      <c r="H544" s="18">
        <v>211577.61</v>
      </c>
      <c r="I544" s="18">
        <v>0</v>
      </c>
      <c r="J544" s="18">
        <v>0</v>
      </c>
      <c r="K544" s="18">
        <v>0</v>
      </c>
      <c r="L544" s="88">
        <f>SUM(F544:K544)</f>
        <v>211577.61</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608681.27</v>
      </c>
      <c r="I545" s="193">
        <f t="shared" si="40"/>
        <v>0</v>
      </c>
      <c r="J545" s="193">
        <f t="shared" si="40"/>
        <v>0</v>
      </c>
      <c r="K545" s="193">
        <f t="shared" si="40"/>
        <v>0</v>
      </c>
      <c r="L545" s="193">
        <f t="shared" si="40"/>
        <v>608681.27</v>
      </c>
      <c r="M545" s="8"/>
      <c r="N545" s="264"/>
    </row>
    <row r="546" spans="1:14" s="3" customFormat="1" ht="12.2" customHeight="1" thickTop="1" x14ac:dyDescent="0.15">
      <c r="A546" s="98" t="s">
        <v>72</v>
      </c>
      <c r="B546" s="107">
        <v>21</v>
      </c>
      <c r="C546" s="107">
        <v>21</v>
      </c>
      <c r="D546" s="158" t="s">
        <v>432</v>
      </c>
      <c r="E546" s="107"/>
      <c r="F546" s="89">
        <f>F525+F530+F535+F540+F545</f>
        <v>7717780.9900000002</v>
      </c>
      <c r="G546" s="89">
        <f t="shared" ref="G546:L546" si="41">G525+G530+G535+G540+G545</f>
        <v>3284988.2800000003</v>
      </c>
      <c r="H546" s="89">
        <f t="shared" si="41"/>
        <v>1797008.56</v>
      </c>
      <c r="I546" s="89">
        <f t="shared" si="41"/>
        <v>49458.080000000002</v>
      </c>
      <c r="J546" s="89">
        <f t="shared" si="41"/>
        <v>36753.040000000001</v>
      </c>
      <c r="K546" s="89">
        <f t="shared" si="41"/>
        <v>9747</v>
      </c>
      <c r="L546" s="89">
        <f t="shared" si="41"/>
        <v>12895735.949999999</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4595995.4799999995</v>
      </c>
      <c r="G550" s="87">
        <f>L527</f>
        <v>366483.5400000001</v>
      </c>
      <c r="H550" s="87">
        <f>L532</f>
        <v>148852.49</v>
      </c>
      <c r="I550" s="87">
        <f>L537</f>
        <v>0</v>
      </c>
      <c r="J550" s="87">
        <f>L542</f>
        <v>210908.06</v>
      </c>
      <c r="K550" s="87">
        <f>SUM(F550:J550)</f>
        <v>5322239.5699999994</v>
      </c>
      <c r="L550" s="24" t="s">
        <v>288</v>
      </c>
      <c r="M550" s="8"/>
      <c r="N550" s="264"/>
    </row>
    <row r="551" spans="1:14" s="3" customFormat="1" ht="12.2" customHeight="1" x14ac:dyDescent="0.15">
      <c r="A551" s="22" t="s">
        <v>634</v>
      </c>
      <c r="B551" s="75">
        <v>21</v>
      </c>
      <c r="C551" s="75">
        <v>23</v>
      </c>
      <c r="D551" s="2" t="s">
        <v>432</v>
      </c>
      <c r="E551" s="75"/>
      <c r="F551" s="87">
        <f>L523</f>
        <v>2565138.2000000007</v>
      </c>
      <c r="G551" s="87">
        <f>L528</f>
        <v>323542.04999999993</v>
      </c>
      <c r="H551" s="87">
        <f>L533</f>
        <v>131411.19</v>
      </c>
      <c r="I551" s="87">
        <f>L538</f>
        <v>0</v>
      </c>
      <c r="J551" s="87">
        <f>L543</f>
        <v>186195.6</v>
      </c>
      <c r="K551" s="87">
        <f>SUM(F551:J551)</f>
        <v>3206287.0400000005</v>
      </c>
      <c r="L551" s="24" t="s">
        <v>288</v>
      </c>
      <c r="M551" s="8"/>
      <c r="N551" s="264"/>
    </row>
    <row r="552" spans="1:14" s="3" customFormat="1" ht="12.2" customHeight="1" thickBot="1" x14ac:dyDescent="0.2">
      <c r="A552" s="22" t="s">
        <v>635</v>
      </c>
      <c r="B552" s="75">
        <v>21</v>
      </c>
      <c r="C552" s="75">
        <v>24</v>
      </c>
      <c r="D552" s="2" t="s">
        <v>432</v>
      </c>
      <c r="E552" s="75"/>
      <c r="F552" s="87">
        <f>L524</f>
        <v>3638659.7</v>
      </c>
      <c r="G552" s="87">
        <f>L529</f>
        <v>367646.98000000004</v>
      </c>
      <c r="H552" s="87">
        <f>L534</f>
        <v>149325.04999999999</v>
      </c>
      <c r="I552" s="87">
        <f>L539</f>
        <v>0</v>
      </c>
      <c r="J552" s="87">
        <f>L544</f>
        <v>211577.61</v>
      </c>
      <c r="K552" s="87">
        <f>SUM(F552:J552)</f>
        <v>4367209.34</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10799793.379999999</v>
      </c>
      <c r="G553" s="89">
        <f t="shared" si="42"/>
        <v>1057672.57</v>
      </c>
      <c r="H553" s="89">
        <f t="shared" si="42"/>
        <v>429588.73</v>
      </c>
      <c r="I553" s="89">
        <f t="shared" si="42"/>
        <v>0</v>
      </c>
      <c r="J553" s="89">
        <f t="shared" si="42"/>
        <v>608681.27</v>
      </c>
      <c r="K553" s="89">
        <f t="shared" si="42"/>
        <v>12895735.949999999</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4"/>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4"/>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21240.45</v>
      </c>
      <c r="G563" s="18">
        <v>0</v>
      </c>
      <c r="H563" s="18">
        <v>108.76</v>
      </c>
      <c r="I563" s="18">
        <f>396.81+18.36</f>
        <v>415.17</v>
      </c>
      <c r="J563" s="18">
        <v>0</v>
      </c>
      <c r="K563" s="18">
        <v>0</v>
      </c>
      <c r="L563" s="88">
        <f>SUM(F563:K563)</f>
        <v>21764.379999999997</v>
      </c>
      <c r="M563" s="8"/>
      <c r="N563" s="264"/>
    </row>
    <row r="564" spans="1:14" s="3" customFormat="1" ht="12.2" customHeight="1" x14ac:dyDescent="0.15">
      <c r="A564" s="22" t="s">
        <v>634</v>
      </c>
      <c r="B564" s="105">
        <v>22</v>
      </c>
      <c r="C564" s="115">
        <v>6</v>
      </c>
      <c r="D564" s="2" t="s">
        <v>432</v>
      </c>
      <c r="E564" s="115"/>
      <c r="F564" s="18">
        <v>18751.669999999998</v>
      </c>
      <c r="G564" s="18">
        <v>0</v>
      </c>
      <c r="H564" s="18">
        <v>96.02</v>
      </c>
      <c r="I564" s="18">
        <f>350.32+16.21</f>
        <v>366.53</v>
      </c>
      <c r="J564" s="18">
        <v>0</v>
      </c>
      <c r="K564" s="18">
        <v>0</v>
      </c>
      <c r="L564" s="88">
        <f>SUM(F564:K564)</f>
        <v>19214.219999999998</v>
      </c>
      <c r="M564" s="8"/>
      <c r="N564" s="264"/>
    </row>
    <row r="565" spans="1:14" s="3" customFormat="1" ht="12.2" customHeight="1" thickBot="1" x14ac:dyDescent="0.2">
      <c r="A565" s="22" t="s">
        <v>635</v>
      </c>
      <c r="B565" s="105">
        <v>22</v>
      </c>
      <c r="C565" s="118">
        <v>7</v>
      </c>
      <c r="D565" s="2" t="s">
        <v>432</v>
      </c>
      <c r="E565" s="118"/>
      <c r="F565" s="18">
        <v>21307.88</v>
      </c>
      <c r="G565" s="18">
        <v>0</v>
      </c>
      <c r="H565" s="18">
        <v>109.11</v>
      </c>
      <c r="I565" s="18">
        <f>398.07+18.42</f>
        <v>416.49</v>
      </c>
      <c r="J565" s="18">
        <v>0</v>
      </c>
      <c r="K565" s="18">
        <v>0</v>
      </c>
      <c r="L565" s="88">
        <f>SUM(F565:K565)</f>
        <v>21833.480000000003</v>
      </c>
      <c r="M565" s="8"/>
      <c r="N565" s="264"/>
    </row>
    <row r="566" spans="1:14" s="3" customFormat="1" ht="12.2" customHeight="1" thickTop="1" x14ac:dyDescent="0.15">
      <c r="A566" s="139" t="s">
        <v>65</v>
      </c>
      <c r="B566" s="107">
        <v>22</v>
      </c>
      <c r="C566" s="107">
        <v>8</v>
      </c>
      <c r="D566" s="196" t="s">
        <v>432</v>
      </c>
      <c r="E566" s="107"/>
      <c r="F566" s="89">
        <f t="shared" ref="F566:L566" si="44">SUM(F563:F565)</f>
        <v>61300</v>
      </c>
      <c r="G566" s="89">
        <f t="shared" si="44"/>
        <v>0</v>
      </c>
      <c r="H566" s="89">
        <f t="shared" si="44"/>
        <v>313.89</v>
      </c>
      <c r="I566" s="89">
        <f t="shared" si="44"/>
        <v>1198.19</v>
      </c>
      <c r="J566" s="89">
        <f t="shared" si="44"/>
        <v>0</v>
      </c>
      <c r="K566" s="89">
        <f t="shared" si="44"/>
        <v>0</v>
      </c>
      <c r="L566" s="89">
        <f t="shared" si="44"/>
        <v>62812.079999999994</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4"/>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4"/>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61300</v>
      </c>
      <c r="G572" s="89">
        <f t="shared" ref="G572:L572" si="46">G561+G566+G571</f>
        <v>0</v>
      </c>
      <c r="H572" s="89">
        <f t="shared" si="46"/>
        <v>313.89</v>
      </c>
      <c r="I572" s="89">
        <f t="shared" si="46"/>
        <v>1198.19</v>
      </c>
      <c r="J572" s="89">
        <f t="shared" si="46"/>
        <v>0</v>
      </c>
      <c r="K572" s="89">
        <f t="shared" si="46"/>
        <v>0</v>
      </c>
      <c r="L572" s="89">
        <f t="shared" si="46"/>
        <v>62812.079999999994</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0</v>
      </c>
      <c r="G580" s="18">
        <v>0</v>
      </c>
      <c r="H580" s="18">
        <v>0</v>
      </c>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f>53645.2+103087.1</f>
        <v>156732.29999999999</v>
      </c>
      <c r="G583" s="18">
        <v>156495.95000000001</v>
      </c>
      <c r="H583" s="18">
        <v>135695.06</v>
      </c>
      <c r="I583" s="87">
        <f t="shared" si="47"/>
        <v>448923.31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v>0</v>
      </c>
      <c r="G585" s="18">
        <v>0</v>
      </c>
      <c r="H585" s="18">
        <v>26214.71</v>
      </c>
      <c r="I585" s="87">
        <f t="shared" si="47"/>
        <v>26214.71</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559894.73</v>
      </c>
      <c r="I592" s="18">
        <v>495599.02</v>
      </c>
      <c r="J592" s="18">
        <v>562363.18000000005</v>
      </c>
      <c r="K592" s="104">
        <f t="shared" ref="K592:K598" si="48">SUM(H592:J592)</f>
        <v>1617856.9300000002</v>
      </c>
      <c r="L592" s="24" t="s">
        <v>288</v>
      </c>
      <c r="M592" s="8"/>
      <c r="N592" s="264"/>
    </row>
    <row r="593" spans="1:14" s="3" customFormat="1" ht="12.2" customHeight="1" x14ac:dyDescent="0.15">
      <c r="A593" s="3" t="s">
        <v>638</v>
      </c>
      <c r="B593" s="75">
        <v>23</v>
      </c>
      <c r="C593" s="75">
        <v>2</v>
      </c>
      <c r="D593" s="2" t="s">
        <v>432</v>
      </c>
      <c r="E593" s="75"/>
      <c r="F593" s="102">
        <v>2722</v>
      </c>
      <c r="G593" s="103" t="s">
        <v>97</v>
      </c>
      <c r="H593" s="18">
        <f>20094.69+190813.36</f>
        <v>210908.05</v>
      </c>
      <c r="I593" s="18">
        <f>17740.16+168455.44</f>
        <v>186195.6</v>
      </c>
      <c r="J593" s="18">
        <f>20158.48+191419.13</f>
        <v>211577.61000000002</v>
      </c>
      <c r="K593" s="104">
        <f t="shared" si="48"/>
        <v>608681.26</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v>0</v>
      </c>
      <c r="J594" s="18">
        <v>3987.8</v>
      </c>
      <c r="K594" s="104">
        <f t="shared" si="48"/>
        <v>3987.8</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v>0</v>
      </c>
      <c r="J595" s="18">
        <v>14145.5</v>
      </c>
      <c r="K595" s="104">
        <f t="shared" si="48"/>
        <v>14145.5</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1109.76</v>
      </c>
      <c r="I596" s="18">
        <v>0</v>
      </c>
      <c r="J596" s="18">
        <v>0</v>
      </c>
      <c r="K596" s="104">
        <f t="shared" si="48"/>
        <v>1109.76</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771912.54</v>
      </c>
      <c r="I599" s="108">
        <f>SUM(I592:I598)</f>
        <v>681794.62</v>
      </c>
      <c r="J599" s="108">
        <f>SUM(J592:J598)</f>
        <v>792074.09000000008</v>
      </c>
      <c r="K599" s="108">
        <f>SUM(K592:K598)</f>
        <v>2245781.25</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136408.45+158537.74</f>
        <v>294946.19</v>
      </c>
      <c r="I605" s="18">
        <f>112444.11+89160.61</f>
        <v>201604.72</v>
      </c>
      <c r="J605" s="18">
        <f>182526.13+176922.21</f>
        <v>359448.33999999997</v>
      </c>
      <c r="K605" s="104">
        <f>SUM(H605:J605)</f>
        <v>855999.25</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294946.19</v>
      </c>
      <c r="I606" s="108">
        <f>SUM(I603:I605)</f>
        <v>201604.72</v>
      </c>
      <c r="J606" s="108">
        <f>SUM(J603:J605)</f>
        <v>359448.33999999997</v>
      </c>
      <c r="K606" s="108">
        <f>SUM(K603:K605)</f>
        <v>855999.25</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109783.11</v>
      </c>
      <c r="G612" s="18">
        <v>0</v>
      </c>
      <c r="H612" s="18">
        <v>75024.44</v>
      </c>
      <c r="I612" s="18">
        <v>530.84</v>
      </c>
      <c r="J612" s="18"/>
      <c r="K612" s="18"/>
      <c r="L612" s="88">
        <f>SUM(F612:K612)</f>
        <v>185338.38999999998</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109783.11</v>
      </c>
      <c r="G615" s="108">
        <f t="shared" si="49"/>
        <v>0</v>
      </c>
      <c r="H615" s="108">
        <f t="shared" si="49"/>
        <v>75024.44</v>
      </c>
      <c r="I615" s="108">
        <f t="shared" si="49"/>
        <v>530.84</v>
      </c>
      <c r="J615" s="108">
        <f t="shared" si="49"/>
        <v>0</v>
      </c>
      <c r="K615" s="108">
        <f t="shared" si="49"/>
        <v>0</v>
      </c>
      <c r="L615" s="89">
        <f t="shared" si="49"/>
        <v>185338.38999999998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6478973.7799999993</v>
      </c>
      <c r="H618" s="109">
        <f>SUM(F52)</f>
        <v>6478973.7799999993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914266.62</v>
      </c>
      <c r="H619" s="109">
        <f>SUM(G52)</f>
        <v>914266.62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1386611.57</v>
      </c>
      <c r="H620" s="109">
        <f>SUM(H52)</f>
        <v>1386611.57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3984012.11</v>
      </c>
      <c r="H622" s="109">
        <f>SUM(J52)</f>
        <v>3984012.11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6075627.8599999994</v>
      </c>
      <c r="H623" s="109">
        <f>F477</f>
        <v>6075627.8599999994</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927</v>
      </c>
      <c r="H624" s="109">
        <f>G477</f>
        <v>927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3984012.11</v>
      </c>
      <c r="H627" s="109">
        <f>J477</f>
        <v>3984012.1100000003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49126049.5</v>
      </c>
      <c r="H628" s="104">
        <f>SUM(F469)</f>
        <v>49126049.5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809954.24</v>
      </c>
      <c r="H629" s="104">
        <f>SUM(G469)</f>
        <v>809954.24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3119289.12</v>
      </c>
      <c r="H630" s="104">
        <f>SUM(H469)</f>
        <v>3119289.12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671704.4</v>
      </c>
      <c r="H632" s="104">
        <f>SUM(J469)</f>
        <v>671704.4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45860867.00999999</v>
      </c>
      <c r="H633" s="104">
        <f>SUM(F473)</f>
        <v>45860867.009999998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3119289.1200000006</v>
      </c>
      <c r="H634" s="104">
        <f>SUM(H473)</f>
        <v>3119289.12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101909.24</v>
      </c>
      <c r="H635" s="104">
        <f>I370</f>
        <v>101909.24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809954.24</v>
      </c>
      <c r="H636" s="104">
        <f>SUM(G473)</f>
        <v>809954.24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671704.4</v>
      </c>
      <c r="H638" s="164">
        <f>SUM(J469)</f>
        <v>671704.4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209918.99</v>
      </c>
      <c r="H639" s="164">
        <f>SUM(J473)</f>
        <v>209918.99</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3984012.11</v>
      </c>
      <c r="H640" s="104">
        <f>SUM(F462)</f>
        <v>3984012.11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3984012.11</v>
      </c>
      <c r="H643" s="104">
        <f>SUM(I462)</f>
        <v>3984012.11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1704.4</v>
      </c>
      <c r="H645" s="104">
        <f>H409</f>
        <v>1704.3999999999999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670000</v>
      </c>
      <c r="H646" s="104">
        <f>G409</f>
        <v>670000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671704.4</v>
      </c>
      <c r="H647" s="104">
        <f>L409</f>
        <v>671704.4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2245781.25</v>
      </c>
      <c r="H648" s="104">
        <f>L209+L227+L245</f>
        <v>2245781.25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855999.25</v>
      </c>
      <c r="H649" s="104">
        <f>(J258+J339)-(J256+J337)</f>
        <v>855999.25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771912.54</v>
      </c>
      <c r="H650" s="104">
        <f>H599</f>
        <v>771912.54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681794.62</v>
      </c>
      <c r="H651" s="104">
        <f>I599</f>
        <v>681794.62</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792074.09</v>
      </c>
      <c r="H652" s="104">
        <f>J599</f>
        <v>792074.09000000008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180911.4</v>
      </c>
      <c r="H653" s="104">
        <f>K264+K346</f>
        <v>180911.4</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670000</v>
      </c>
      <c r="H656" s="104">
        <f>K267+K348</f>
        <v>670000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18988825.649999999</v>
      </c>
      <c r="G661" s="19">
        <f>(L230+L310+L360)</f>
        <v>13713215.019999998</v>
      </c>
      <c r="H661" s="19">
        <f>(L248+L329+L361)</f>
        <v>15613625.800000001</v>
      </c>
      <c r="I661" s="19">
        <f>SUM(F661:H661)</f>
        <v>48315666.469999999</v>
      </c>
      <c r="J661" s="13"/>
      <c r="K661" s="13"/>
      <c r="L661" s="13"/>
      <c r="M661" s="9"/>
    </row>
    <row r="662" spans="1:13" s="3" customFormat="1" ht="12.2" customHeight="1" x14ac:dyDescent="0.2">
      <c r="A662" s="1" t="s">
        <v>127</v>
      </c>
      <c r="F662" s="19">
        <f>(L359/IF(SUM(L359:L361)=0,1,SUM(L359:L361))*(SUM(G97:G110)))</f>
        <v>5741.8405321841383</v>
      </c>
      <c r="G662" s="19">
        <f>(L360/IF(SUM(L359:L361)=0,1,SUM(L359:L361))*(SUM(G97:G110)))</f>
        <v>5066.4083844144079</v>
      </c>
      <c r="H662" s="19">
        <f>(L361/IF(SUM(L359:L361)=0,1,SUM(L359:L361))*(SUM(G97:G110)))</f>
        <v>5757.6710834014521</v>
      </c>
      <c r="I662" s="19">
        <f>SUM(F662:H662)</f>
        <v>16565.919999999998</v>
      </c>
      <c r="J662"/>
      <c r="K662" s="13"/>
      <c r="L662" s="13"/>
      <c r="M662" s="8"/>
    </row>
    <row r="663" spans="1:13" s="3" customFormat="1" ht="12.2" customHeight="1" x14ac:dyDescent="0.2">
      <c r="A663" s="1" t="s">
        <v>128</v>
      </c>
      <c r="F663" s="19">
        <f>(L209+L288)-(J209+J288)</f>
        <v>772405.62</v>
      </c>
      <c r="G663" s="19">
        <f>(L227+L307)-(J227+J307)</f>
        <v>681794.62</v>
      </c>
      <c r="H663" s="19">
        <f>(L245+L326)-(J245+J326)</f>
        <v>792074.09</v>
      </c>
      <c r="I663" s="19">
        <f>SUM(F663:H663)</f>
        <v>2246274.33</v>
      </c>
      <c r="J663"/>
      <c r="K663" s="13"/>
      <c r="L663" s="13"/>
      <c r="M663" s="9"/>
    </row>
    <row r="664" spans="1:13" s="3" customFormat="1" ht="12.2" customHeight="1" x14ac:dyDescent="0.15">
      <c r="A664" s="198" t="s">
        <v>129</v>
      </c>
      <c r="B664" s="169"/>
      <c r="C664" s="169"/>
      <c r="D664" s="169"/>
      <c r="E664" s="169"/>
      <c r="F664" s="199">
        <f>SUM(F576:F588)+SUM(H603:H605)+SUM(L612)</f>
        <v>637016.88</v>
      </c>
      <c r="G664" s="199">
        <f>SUM(G576:G588)+SUM(I603:I605)+L613</f>
        <v>358100.67000000004</v>
      </c>
      <c r="H664" s="199">
        <f>SUM(H576:H588)+SUM(J603:J605)+L614</f>
        <v>521358.11</v>
      </c>
      <c r="I664" s="19">
        <f>SUM(F664:H664)</f>
        <v>1516475.6600000001</v>
      </c>
      <c r="J664" s="13"/>
      <c r="K664" s="13"/>
      <c r="L664" s="13"/>
      <c r="M664" s="9"/>
    </row>
    <row r="665" spans="1:13" s="3" customFormat="1" ht="12.2" customHeight="1" x14ac:dyDescent="0.15">
      <c r="A665" s="1" t="s">
        <v>130</v>
      </c>
      <c r="F665" s="19">
        <f>F661-SUM(F662:F664)</f>
        <v>17573661.309467815</v>
      </c>
      <c r="G665" s="19">
        <f>G661-SUM(G662:G664)</f>
        <v>12668253.321615584</v>
      </c>
      <c r="H665" s="19">
        <f>H661-SUM(H662:H664)</f>
        <v>14294435.9289166</v>
      </c>
      <c r="I665" s="19">
        <f>I661-SUM(I662:I664)</f>
        <v>44536350.560000002</v>
      </c>
      <c r="J665" s="13"/>
      <c r="K665" s="13"/>
      <c r="L665" s="13"/>
      <c r="M665" s="8"/>
    </row>
    <row r="666" spans="1:13" s="3" customFormat="1" ht="12.2" customHeight="1" x14ac:dyDescent="0.25">
      <c r="A666" s="1" t="s">
        <v>131</v>
      </c>
      <c r="F666" s="359">
        <v>696.36</v>
      </c>
      <c r="G666" s="359">
        <v>614.42999999999995</v>
      </c>
      <c r="H666" s="359">
        <v>698.26</v>
      </c>
      <c r="I666" s="19">
        <f>SUM(F666:H666)</f>
        <v>2009.05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25236.46</v>
      </c>
      <c r="G668" s="19">
        <f>ROUND(G665/G666,2)</f>
        <v>20617.900000000001</v>
      </c>
      <c r="H668" s="19">
        <f>ROUND(H665/H666,2)</f>
        <v>20471.509999999998</v>
      </c>
      <c r="I668" s="19">
        <f>ROUND(I665/I666,2)</f>
        <v>22167.87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3.17</v>
      </c>
      <c r="I671" s="19">
        <f>SUM(F671:H671)</f>
        <v>3.17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25236.46</v>
      </c>
      <c r="G673" s="19">
        <f>ROUND((G665+G670)/(G666+G671),2)</f>
        <v>20617.900000000001</v>
      </c>
      <c r="H673" s="19">
        <f>ROUND((H665+H670)/(H666+H671),2)</f>
        <v>20378.990000000002</v>
      </c>
      <c r="I673" s="19">
        <f>ROUND((I665+I670)/(I666+I671),2)</f>
        <v>22132.94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951498.52</v>
      </c>
      <c r="F7" s="346"/>
    </row>
    <row r="8" spans="2:6" x14ac:dyDescent="0.25">
      <c r="B8" s="346"/>
      <c r="C8" s="346"/>
      <c r="D8" s="346"/>
      <c r="E8" s="346"/>
      <c r="F8" s="346"/>
    </row>
    <row r="9" spans="2:6" x14ac:dyDescent="0.25">
      <c r="B9" s="346"/>
      <c r="C9" s="346" t="s">
        <v>1650</v>
      </c>
      <c r="D9" s="346" t="s">
        <v>1651</v>
      </c>
      <c r="E9" s="341">
        <v>0</v>
      </c>
      <c r="F9" s="346"/>
    </row>
    <row r="10" spans="2:6" x14ac:dyDescent="0.25">
      <c r="B10" s="346"/>
      <c r="C10" s="346"/>
      <c r="D10" s="346"/>
      <c r="E10" s="346"/>
      <c r="F10" s="346"/>
    </row>
    <row r="11" spans="2:6" x14ac:dyDescent="0.25">
      <c r="B11" s="346"/>
      <c r="C11" s="346" t="s">
        <v>1652</v>
      </c>
      <c r="D11" s="346" t="s">
        <v>1653</v>
      </c>
      <c r="E11" s="341">
        <v>0</v>
      </c>
      <c r="F11" s="346"/>
    </row>
    <row r="12" spans="2:6" x14ac:dyDescent="0.25">
      <c r="B12" s="346"/>
      <c r="C12" s="346"/>
      <c r="D12" s="346"/>
      <c r="E12" s="346"/>
      <c r="F12" s="346"/>
    </row>
    <row r="13" spans="2:6" x14ac:dyDescent="0.25">
      <c r="B13" s="346"/>
      <c r="C13" s="346" t="s">
        <v>1654</v>
      </c>
      <c r="D13" s="346" t="s">
        <v>1655</v>
      </c>
      <c r="E13" s="341">
        <v>0</v>
      </c>
      <c r="F13" s="346"/>
    </row>
    <row r="14" spans="2:6" x14ac:dyDescent="0.25">
      <c r="B14" s="346"/>
      <c r="C14" s="346"/>
      <c r="D14" s="346"/>
      <c r="E14" s="346"/>
      <c r="F14" s="346"/>
    </row>
    <row r="15" spans="2:6" x14ac:dyDescent="0.25">
      <c r="B15" s="346"/>
      <c r="C15" s="346" t="s">
        <v>1656</v>
      </c>
      <c r="D15" s="346" t="s">
        <v>1657</v>
      </c>
      <c r="E15" s="341">
        <v>0</v>
      </c>
      <c r="F15" s="346"/>
    </row>
    <row r="16" spans="2:6" x14ac:dyDescent="0.25">
      <c r="B16" s="346"/>
      <c r="C16" s="346"/>
      <c r="D16" s="346"/>
      <c r="E16" s="346"/>
      <c r="F16" s="346"/>
    </row>
    <row r="17" spans="2:8" x14ac:dyDescent="0.25">
      <c r="B17" s="346"/>
      <c r="C17" s="346" t="s">
        <v>1658</v>
      </c>
      <c r="D17" s="347">
        <v>21.018999999999998</v>
      </c>
      <c r="E17" s="341">
        <v>816947.63</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1478916.93</v>
      </c>
      <c r="F22" s="346"/>
    </row>
    <row r="23" spans="2:8" x14ac:dyDescent="0.25">
      <c r="B23" s="346"/>
      <c r="C23" s="346"/>
      <c r="D23" s="346"/>
      <c r="E23" s="346"/>
      <c r="F23" s="346"/>
    </row>
    <row r="24" spans="2:8" ht="26.25" customHeight="1" x14ac:dyDescent="0.25">
      <c r="B24" s="346"/>
      <c r="C24" s="348" t="s">
        <v>1661</v>
      </c>
      <c r="D24" s="346"/>
      <c r="E24" s="341">
        <v>313383.01</v>
      </c>
      <c r="F24" s="346"/>
    </row>
    <row r="25" spans="2:8" ht="18" x14ac:dyDescent="0.25">
      <c r="B25" s="346"/>
      <c r="C25" s="349"/>
      <c r="D25" s="346"/>
      <c r="E25" s="346"/>
      <c r="F25" s="346"/>
    </row>
    <row r="26" spans="2:8" ht="27.75" customHeight="1" x14ac:dyDescent="0.25">
      <c r="B26" s="346"/>
      <c r="C26" s="348" t="s">
        <v>1662</v>
      </c>
      <c r="D26" s="346"/>
      <c r="E26" s="341">
        <v>1165533.92</v>
      </c>
      <c r="F26" s="346"/>
    </row>
    <row r="27" spans="2:8" x14ac:dyDescent="0.25">
      <c r="B27" s="346"/>
      <c r="C27" s="348"/>
      <c r="D27" s="346"/>
      <c r="E27" s="346"/>
      <c r="F27" s="346"/>
    </row>
    <row r="28" spans="2:8" ht="15.75" customHeight="1" x14ac:dyDescent="0.25">
      <c r="B28" s="346"/>
      <c r="C28" s="348" t="s">
        <v>1663</v>
      </c>
      <c r="D28" s="346"/>
      <c r="E28" s="342">
        <v>148490.72</v>
      </c>
      <c r="F28" s="346"/>
    </row>
    <row r="29" spans="2:8" x14ac:dyDescent="0.25">
      <c r="B29" s="346"/>
      <c r="C29" s="346"/>
      <c r="D29" s="346"/>
      <c r="E29" s="346"/>
      <c r="F29" s="346"/>
    </row>
    <row r="30" spans="2:8" ht="16.5" customHeight="1" x14ac:dyDescent="0.25">
      <c r="B30" s="346"/>
      <c r="C30" s="348" t="s">
        <v>1664</v>
      </c>
      <c r="D30" s="346"/>
      <c r="E30" s="341">
        <v>332299.98</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402</v>
      </c>
      <c r="C3" s="320"/>
      <c r="D3" s="320"/>
      <c r="E3" s="320"/>
      <c r="F3" s="320"/>
      <c r="G3" s="320"/>
      <c r="H3" s="320"/>
      <c r="I3" t="s">
        <v>1621</v>
      </c>
    </row>
    <row r="4" spans="1:9" x14ac:dyDescent="0.2">
      <c r="I4" t="s">
        <v>1622</v>
      </c>
    </row>
    <row r="5" spans="1:9" ht="15.75" x14ac:dyDescent="0.25">
      <c r="A5" s="316" t="s">
        <v>908</v>
      </c>
      <c r="B5" s="362" t="str">
        <f>'DOE25'!A2</f>
        <v>Contoocook Valley School District</v>
      </c>
      <c r="C5" s="363"/>
      <c r="D5" s="363"/>
      <c r="E5" s="363"/>
      <c r="F5" s="363"/>
    </row>
    <row r="8" spans="1:9" ht="18" x14ac:dyDescent="0.25">
      <c r="A8" s="317" t="s">
        <v>1576</v>
      </c>
      <c r="F8" s="324" t="s">
        <v>1594</v>
      </c>
    </row>
    <row r="9" spans="1:9" ht="15" x14ac:dyDescent="0.2">
      <c r="A9" s="315" t="s">
        <v>1577</v>
      </c>
      <c r="B9" s="318">
        <f>'DOE25'!G97</f>
        <v>16565.919999999998</v>
      </c>
      <c r="F9" s="315" t="s">
        <v>1590</v>
      </c>
    </row>
    <row r="10" spans="1:9" ht="15" x14ac:dyDescent="0.2">
      <c r="A10" s="315" t="s">
        <v>1578</v>
      </c>
      <c r="B10" s="318">
        <f>'DOE25'!G112-'DOE25'!G97</f>
        <v>788.90999999999985</v>
      </c>
      <c r="F10" s="315" t="s">
        <v>1591</v>
      </c>
    </row>
    <row r="11" spans="1:9" ht="15" x14ac:dyDescent="0.2">
      <c r="A11" s="315" t="s">
        <v>1579</v>
      </c>
      <c r="B11" s="318">
        <f>'DOE25'!G140</f>
        <v>14636.64</v>
      </c>
      <c r="F11" s="315" t="s">
        <v>1592</v>
      </c>
    </row>
    <row r="12" spans="1:9" ht="15" x14ac:dyDescent="0.2">
      <c r="A12" s="315" t="s">
        <v>1580</v>
      </c>
      <c r="B12" s="318">
        <f>'DOE25'!G170</f>
        <v>597051.37</v>
      </c>
      <c r="F12" s="315" t="s">
        <v>1593</v>
      </c>
    </row>
    <row r="13" spans="1:9" ht="15" x14ac:dyDescent="0.2">
      <c r="A13" s="315" t="s">
        <v>1581</v>
      </c>
      <c r="B13" s="318">
        <f>'DOE25'!G193-'DOE25'!G180</f>
        <v>0</v>
      </c>
      <c r="F13" s="315" t="s">
        <v>1603</v>
      </c>
    </row>
    <row r="14" spans="1:9" ht="18" x14ac:dyDescent="0.25">
      <c r="A14" s="317" t="s">
        <v>732</v>
      </c>
      <c r="B14" s="319">
        <f>SUM(B9:B13)</f>
        <v>629042.84</v>
      </c>
    </row>
    <row r="16" spans="1:9" ht="18" x14ac:dyDescent="0.25">
      <c r="A16" s="317" t="s">
        <v>786</v>
      </c>
      <c r="F16" s="324" t="s">
        <v>1595</v>
      </c>
    </row>
    <row r="17" spans="1:6" ht="15" x14ac:dyDescent="0.2">
      <c r="A17" s="315" t="s">
        <v>1582</v>
      </c>
      <c r="B17" s="318">
        <f>'DOE25'!L363-'DOE25'!L362</f>
        <v>809954.24</v>
      </c>
      <c r="F17" s="315" t="s">
        <v>1596</v>
      </c>
    </row>
    <row r="18" spans="1:6" ht="15" x14ac:dyDescent="0.2">
      <c r="A18" s="315" t="s">
        <v>1583</v>
      </c>
      <c r="B18" s="328"/>
      <c r="F18" s="324" t="s">
        <v>1620</v>
      </c>
    </row>
    <row r="19" spans="1:6" ht="18" x14ac:dyDescent="0.25">
      <c r="A19" s="317" t="s">
        <v>725</v>
      </c>
      <c r="B19" s="319">
        <f>SUM(B17:B18)</f>
        <v>809954.24</v>
      </c>
    </row>
    <row r="21" spans="1:6" ht="18.75" thickBot="1" x14ac:dyDescent="0.3">
      <c r="A21" s="317" t="s">
        <v>1584</v>
      </c>
    </row>
    <row r="22" spans="1:6" ht="18.75" thickTop="1" x14ac:dyDescent="0.25">
      <c r="A22" s="317" t="s">
        <v>1585</v>
      </c>
      <c r="B22" s="323">
        <f>B14-B19</f>
        <v>-180911.40000000002</v>
      </c>
      <c r="F22" s="315" t="s">
        <v>1597</v>
      </c>
    </row>
    <row r="26" spans="1:6" ht="18" x14ac:dyDescent="0.25">
      <c r="A26" s="317" t="s">
        <v>186</v>
      </c>
    </row>
    <row r="27" spans="1:6" ht="15" x14ac:dyDescent="0.2">
      <c r="A27" s="315" t="s">
        <v>1586</v>
      </c>
      <c r="B27" s="318">
        <f>'DOE25'!G180</f>
        <v>180911.4</v>
      </c>
      <c r="F27" s="315" t="s">
        <v>1598</v>
      </c>
    </row>
    <row r="28" spans="1:6" ht="15" x14ac:dyDescent="0.2">
      <c r="A28" s="315" t="s">
        <v>1588</v>
      </c>
      <c r="B28" s="318">
        <f>'DOE25'!L362</f>
        <v>0</v>
      </c>
      <c r="F28" s="315" t="s">
        <v>1599</v>
      </c>
    </row>
    <row r="31" spans="1:6" ht="15" x14ac:dyDescent="0.2">
      <c r="A31" s="315" t="s">
        <v>1628</v>
      </c>
      <c r="B31" s="318">
        <f>'DOE25'!G466</f>
        <v>927</v>
      </c>
      <c r="F31" s="315" t="s">
        <v>1600</v>
      </c>
    </row>
    <row r="33" spans="1:6" ht="15" x14ac:dyDescent="0.2">
      <c r="A33" s="315" t="s">
        <v>1629</v>
      </c>
      <c r="B33" s="318">
        <f>'DOE25'!G477</f>
        <v>927</v>
      </c>
      <c r="F33" s="315" t="s">
        <v>1601</v>
      </c>
    </row>
    <row r="36" spans="1:6" ht="15" x14ac:dyDescent="0.2">
      <c r="A36" s="315" t="s">
        <v>1587</v>
      </c>
      <c r="B36" s="329">
        <v>52636.21</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Contoocook Valley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10744862.880000001</v>
      </c>
      <c r="C9" s="229">
        <f>'DOE25'!G198+'DOE25'!G216+'DOE25'!G234+'DOE25'!G277+'DOE25'!G296+'DOE25'!G315</f>
        <v>4681568.16</v>
      </c>
    </row>
    <row r="10" spans="1:3" x14ac:dyDescent="0.2">
      <c r="A10" t="s">
        <v>775</v>
      </c>
      <c r="B10" s="240">
        <v>9389904.7300000004</v>
      </c>
      <c r="C10" s="240">
        <v>4091208.93</v>
      </c>
    </row>
    <row r="11" spans="1:3" x14ac:dyDescent="0.2">
      <c r="A11" t="s">
        <v>776</v>
      </c>
      <c r="B11" s="240">
        <v>359809.96</v>
      </c>
      <c r="C11" s="240">
        <v>156770.25</v>
      </c>
    </row>
    <row r="12" spans="1:3" x14ac:dyDescent="0.2">
      <c r="A12" t="s">
        <v>777</v>
      </c>
      <c r="B12" s="240">
        <v>995148.19</v>
      </c>
      <c r="C12" s="240">
        <v>433588.98</v>
      </c>
    </row>
    <row r="13" spans="1:3" x14ac:dyDescent="0.2">
      <c r="A13" t="str">
        <f>IF(B9=B13,IF(C9=C13,"Check Total OK","Check Total Error"),"Check Total Error")</f>
        <v>Check Total OK</v>
      </c>
      <c r="B13" s="231">
        <f>SUM(B10:B12)</f>
        <v>10744862.880000001</v>
      </c>
      <c r="C13" s="231">
        <f>SUM(C10:C12)</f>
        <v>4681568.16</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6556546.4799999995</v>
      </c>
      <c r="C18" s="229">
        <f>'DOE25'!G199+'DOE25'!G217+'DOE25'!G235+'DOE25'!G278+'DOE25'!G297+'DOE25'!G316</f>
        <v>3233185.0700000003</v>
      </c>
    </row>
    <row r="19" spans="1:3" x14ac:dyDescent="0.2">
      <c r="A19" t="s">
        <v>775</v>
      </c>
      <c r="B19" s="240">
        <v>3408754.84</v>
      </c>
      <c r="C19" s="240">
        <v>1680938.65</v>
      </c>
    </row>
    <row r="20" spans="1:3" x14ac:dyDescent="0.2">
      <c r="A20" t="s">
        <v>776</v>
      </c>
      <c r="B20" s="240">
        <v>2007992.12</v>
      </c>
      <c r="C20" s="240">
        <v>990189.01</v>
      </c>
    </row>
    <row r="21" spans="1:3" x14ac:dyDescent="0.2">
      <c r="A21" t="s">
        <v>777</v>
      </c>
      <c r="B21" s="240">
        <v>1139799.52</v>
      </c>
      <c r="C21" s="240">
        <v>562057.41</v>
      </c>
    </row>
    <row r="22" spans="1:3" x14ac:dyDescent="0.2">
      <c r="A22" t="str">
        <f>IF(B18=B22,IF(C18=C22,"Check Total OK","Check Total Error"),"Check Total Error")</f>
        <v>Check Total OK</v>
      </c>
      <c r="B22" s="231">
        <f>SUM(B19:B21)</f>
        <v>6556546.4800000004</v>
      </c>
      <c r="C22" s="231">
        <f>SUM(C19:C21)</f>
        <v>3233185.0700000003</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705074.74</v>
      </c>
      <c r="C27" s="234">
        <f>'DOE25'!G200+'DOE25'!G218+'DOE25'!G236+'DOE25'!G279+'DOE25'!G298+'DOE25'!G317</f>
        <v>311306.52</v>
      </c>
    </row>
    <row r="28" spans="1:3" x14ac:dyDescent="0.2">
      <c r="A28" t="s">
        <v>775</v>
      </c>
      <c r="B28" s="240">
        <v>705074.74</v>
      </c>
      <c r="C28" s="240">
        <v>311306.52</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705074.74</v>
      </c>
      <c r="C31" s="231">
        <f>SUM(C28:C30)</f>
        <v>311306.52</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329165.48000000004</v>
      </c>
      <c r="C36" s="235">
        <f>'DOE25'!G201+'DOE25'!G219+'DOE25'!G237+'DOE25'!G280+'DOE25'!G299+'DOE25'!G318</f>
        <v>90851.13</v>
      </c>
    </row>
    <row r="37" spans="1:3" x14ac:dyDescent="0.2">
      <c r="A37" t="s">
        <v>775</v>
      </c>
      <c r="B37" s="240">
        <v>0</v>
      </c>
      <c r="C37" s="240">
        <v>0</v>
      </c>
    </row>
    <row r="38" spans="1:3" x14ac:dyDescent="0.2">
      <c r="A38" t="s">
        <v>776</v>
      </c>
      <c r="B38" s="240">
        <v>0</v>
      </c>
      <c r="C38" s="240">
        <v>0</v>
      </c>
    </row>
    <row r="39" spans="1:3" x14ac:dyDescent="0.2">
      <c r="A39" t="s">
        <v>777</v>
      </c>
      <c r="B39" s="240">
        <v>329165.48</v>
      </c>
      <c r="C39" s="240">
        <v>90851.13</v>
      </c>
    </row>
    <row r="40" spans="1:3" x14ac:dyDescent="0.2">
      <c r="A40" t="str">
        <f>IF(B36=B40,IF(C36=C40,"Check Total OK","Check Total Error"),"Check Total Error")</f>
        <v>Check Total OK</v>
      </c>
      <c r="B40" s="231">
        <f>SUM(B37:B39)</f>
        <v>329165.48</v>
      </c>
      <c r="C40" s="231">
        <f>SUM(C37:C39)</f>
        <v>90851.13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Contoocook Valley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28017650.539999999</v>
      </c>
      <c r="D5" s="20">
        <f>SUM('DOE25'!L198:L201)+SUM('DOE25'!L216:L219)+SUM('DOE25'!L234:L237)-F5-G5-H5</f>
        <v>27652954.749999996</v>
      </c>
      <c r="E5" s="243"/>
      <c r="F5" s="244">
        <v>0</v>
      </c>
      <c r="G5" s="53">
        <f>SUM('DOE25'!J198:J201)+SUM('DOE25'!J216:J219)+SUM('DOE25'!J234:J237)</f>
        <v>337867.42000000004</v>
      </c>
      <c r="H5" s="53">
        <f>SUM('DOE25'!K198:K201)+SUM('DOE25'!K216:K219)+SUM('DOE25'!K234:K237)</f>
        <v>26828.369999999995</v>
      </c>
      <c r="I5" s="254"/>
    </row>
    <row r="6" spans="1:9" x14ac:dyDescent="0.2">
      <c r="A6" s="32">
        <v>2100</v>
      </c>
      <c r="B6" t="s">
        <v>796</v>
      </c>
      <c r="C6" s="273">
        <f t="shared" si="0"/>
        <v>2667630.65</v>
      </c>
      <c r="D6" s="20">
        <f>'DOE25'!L203+'DOE25'!L221+'DOE25'!L239-F6-G6-H6</f>
        <v>2607872.36</v>
      </c>
      <c r="E6" s="243"/>
      <c r="F6" s="244">
        <v>0</v>
      </c>
      <c r="G6" s="53">
        <f>'DOE25'!J203+'DOE25'!J221+'DOE25'!J239</f>
        <v>42244.29</v>
      </c>
      <c r="H6" s="53">
        <f>'DOE25'!K203+'DOE25'!K221+'DOE25'!K239</f>
        <v>17514</v>
      </c>
      <c r="I6" s="254"/>
    </row>
    <row r="7" spans="1:9" x14ac:dyDescent="0.2">
      <c r="A7" s="32">
        <v>2200</v>
      </c>
      <c r="B7" t="s">
        <v>821</v>
      </c>
      <c r="C7" s="273">
        <f t="shared" si="0"/>
        <v>1075458.1800000002</v>
      </c>
      <c r="D7" s="20">
        <f>'DOE25'!L204+'DOE25'!L222+'DOE25'!L240-F7-G7-H7</f>
        <v>1069700.6000000001</v>
      </c>
      <c r="E7" s="243"/>
      <c r="F7" s="244">
        <v>0</v>
      </c>
      <c r="G7" s="53">
        <f>'DOE25'!J204+'DOE25'!J222+'DOE25'!J240</f>
        <v>5757.58</v>
      </c>
      <c r="H7" s="53">
        <f>'DOE25'!K204+'DOE25'!K222+'DOE25'!K240</f>
        <v>0</v>
      </c>
      <c r="I7" s="254"/>
    </row>
    <row r="8" spans="1:9" x14ac:dyDescent="0.2">
      <c r="A8" s="32">
        <v>2300</v>
      </c>
      <c r="B8" t="s">
        <v>797</v>
      </c>
      <c r="C8" s="273">
        <f t="shared" si="0"/>
        <v>1752893.7999999993</v>
      </c>
      <c r="D8" s="243"/>
      <c r="E8" s="20">
        <f>'DOE25'!L205+'DOE25'!L223+'DOE25'!L241-F8-G8-H8-D9-D11</f>
        <v>1731221.2999999993</v>
      </c>
      <c r="F8" s="244">
        <v>8345.48</v>
      </c>
      <c r="G8" s="53">
        <f>'DOE25'!J205+'DOE25'!J223+'DOE25'!J241</f>
        <v>522.17999999999995</v>
      </c>
      <c r="H8" s="53">
        <f>'DOE25'!K205+'DOE25'!K223+'DOE25'!K241</f>
        <v>12804.84</v>
      </c>
      <c r="I8" s="254"/>
    </row>
    <row r="9" spans="1:9" ht="14.25" x14ac:dyDescent="0.2">
      <c r="A9" s="32">
        <v>2310</v>
      </c>
      <c r="B9" s="185" t="s">
        <v>888</v>
      </c>
      <c r="C9" s="273">
        <f t="shared" si="0"/>
        <v>506622.35</v>
      </c>
      <c r="D9" s="244">
        <v>506622.35</v>
      </c>
      <c r="E9" s="243"/>
      <c r="F9" s="251"/>
      <c r="G9" s="251"/>
      <c r="H9" s="251"/>
      <c r="I9" s="254"/>
    </row>
    <row r="10" spans="1:9" ht="14.25" x14ac:dyDescent="0.2">
      <c r="A10" s="32">
        <v>2317</v>
      </c>
      <c r="B10" s="185" t="s">
        <v>889</v>
      </c>
      <c r="C10" s="273">
        <f t="shared" si="0"/>
        <v>22264</v>
      </c>
      <c r="D10" s="243"/>
      <c r="E10" s="244">
        <v>22264</v>
      </c>
      <c r="F10" s="251"/>
      <c r="G10" s="251"/>
      <c r="H10" s="251"/>
      <c r="I10" s="254"/>
    </row>
    <row r="11" spans="1:9" ht="14.25" x14ac:dyDescent="0.2">
      <c r="A11" s="32">
        <v>2321</v>
      </c>
      <c r="B11" s="185" t="s">
        <v>890</v>
      </c>
      <c r="C11" s="273">
        <f t="shared" si="0"/>
        <v>567050.43000000005</v>
      </c>
      <c r="D11" s="244">
        <v>567050.43000000005</v>
      </c>
      <c r="E11" s="243"/>
      <c r="F11" s="251"/>
      <c r="G11" s="251"/>
      <c r="H11" s="251"/>
      <c r="I11" s="254"/>
    </row>
    <row r="12" spans="1:9" x14ac:dyDescent="0.2">
      <c r="A12" s="32">
        <v>2400</v>
      </c>
      <c r="B12" t="s">
        <v>711</v>
      </c>
      <c r="C12" s="273">
        <f t="shared" si="0"/>
        <v>3869242.9299999997</v>
      </c>
      <c r="D12" s="20">
        <f>'DOE25'!L206+'DOE25'!L224+'DOE25'!L242-F12-G12-H12</f>
        <v>3816267.2199999997</v>
      </c>
      <c r="E12" s="243"/>
      <c r="F12" s="244">
        <v>0</v>
      </c>
      <c r="G12" s="53">
        <f>'DOE25'!J206+'DOE25'!J224+'DOE25'!J242</f>
        <v>1289</v>
      </c>
      <c r="H12" s="53">
        <f>'DOE25'!K206+'DOE25'!K224+'DOE25'!K242</f>
        <v>51686.71</v>
      </c>
      <c r="I12" s="254"/>
    </row>
    <row r="13" spans="1:9" x14ac:dyDescent="0.2">
      <c r="A13" s="32">
        <v>2500</v>
      </c>
      <c r="B13" t="s">
        <v>798</v>
      </c>
      <c r="C13" s="273">
        <f t="shared" si="0"/>
        <v>0</v>
      </c>
      <c r="D13" s="243"/>
      <c r="E13" s="20">
        <f>'DOE25'!L207+'DOE25'!L225+'DOE25'!L243-F13-G13-H13</f>
        <v>0</v>
      </c>
      <c r="F13" s="244">
        <v>0</v>
      </c>
      <c r="G13" s="53">
        <f>'DOE25'!J207+'DOE25'!J225+'DOE25'!J243</f>
        <v>0</v>
      </c>
      <c r="H13" s="53">
        <f>'DOE25'!K207+'DOE25'!K225+'DOE25'!K243</f>
        <v>0</v>
      </c>
      <c r="I13" s="254"/>
    </row>
    <row r="14" spans="1:9" x14ac:dyDescent="0.2">
      <c r="A14" s="32">
        <v>2600</v>
      </c>
      <c r="B14" t="s">
        <v>819</v>
      </c>
      <c r="C14" s="273">
        <f t="shared" si="0"/>
        <v>3680464.13</v>
      </c>
      <c r="D14" s="20">
        <f>'DOE25'!L208+'DOE25'!L226+'DOE25'!L244-F14-G14-H14</f>
        <v>2421604.7599999998</v>
      </c>
      <c r="E14" s="243"/>
      <c r="F14" s="244">
        <v>1215161.1499999999</v>
      </c>
      <c r="G14" s="53">
        <f>'DOE25'!J208+'DOE25'!J226+'DOE25'!J244</f>
        <v>43698.22</v>
      </c>
      <c r="H14" s="53">
        <f>'DOE25'!K208+'DOE25'!K226+'DOE25'!K244</f>
        <v>0</v>
      </c>
      <c r="I14" s="254"/>
    </row>
    <row r="15" spans="1:9" x14ac:dyDescent="0.2">
      <c r="A15" s="32">
        <v>2700</v>
      </c>
      <c r="B15" t="s">
        <v>799</v>
      </c>
      <c r="C15" s="273">
        <f t="shared" si="0"/>
        <v>2245781.25</v>
      </c>
      <c r="D15" s="20">
        <f>'DOE25'!L209+'DOE25'!L227+'DOE25'!L245-F15-G15-H15</f>
        <v>98530.450000000186</v>
      </c>
      <c r="E15" s="243"/>
      <c r="F15" s="244">
        <v>2147250.7999999998</v>
      </c>
      <c r="G15" s="53">
        <f>'DOE25'!J209+'DOE25'!J227+'DOE25'!J245</f>
        <v>0</v>
      </c>
      <c r="H15" s="53">
        <f>'DOE25'!K209+'DOE25'!K227+'DOE25'!K245</f>
        <v>0</v>
      </c>
      <c r="I15" s="254"/>
    </row>
    <row r="16" spans="1:9" x14ac:dyDescent="0.2">
      <c r="A16" s="32">
        <v>2800</v>
      </c>
      <c r="B16" t="s">
        <v>800</v>
      </c>
      <c r="C16" s="273">
        <f t="shared" si="0"/>
        <v>3628.85</v>
      </c>
      <c r="D16" s="243"/>
      <c r="E16" s="20">
        <f>'DOE25'!L210+'DOE25'!L228+'DOE25'!L246-F16-G16-H16</f>
        <v>3628.85</v>
      </c>
      <c r="F16" s="244">
        <v>0</v>
      </c>
      <c r="G16" s="53">
        <f>'DOE25'!J210+'DOE25'!J228+'DOE25'!J246</f>
        <v>0</v>
      </c>
      <c r="H16" s="53">
        <f>'DOE25'!K210+'DOE25'!K228+'DOE25'!K246</f>
        <v>0</v>
      </c>
      <c r="I16" s="254"/>
    </row>
    <row r="17" spans="1:9" x14ac:dyDescent="0.2">
      <c r="A17" s="32">
        <v>1600</v>
      </c>
      <c r="B17" t="s">
        <v>801</v>
      </c>
      <c r="C17" s="273">
        <f t="shared" si="0"/>
        <v>0</v>
      </c>
      <c r="D17" s="20">
        <f>'DOE25'!L252-F17-G17-H17</f>
        <v>0</v>
      </c>
      <c r="E17" s="243"/>
      <c r="F17" s="244">
        <v>0</v>
      </c>
      <c r="G17" s="53">
        <f>'DOE25'!J252</f>
        <v>0</v>
      </c>
      <c r="H17" s="53">
        <f>'DOE25'!K252</f>
        <v>0</v>
      </c>
      <c r="I17" s="254"/>
    </row>
    <row r="18" spans="1:9" x14ac:dyDescent="0.2">
      <c r="A18" s="32">
        <v>1700</v>
      </c>
      <c r="B18" t="s">
        <v>802</v>
      </c>
      <c r="C18" s="273">
        <f t="shared" si="0"/>
        <v>0</v>
      </c>
      <c r="D18" s="20">
        <f>'DOE25'!L253-F18-G18-H18</f>
        <v>0</v>
      </c>
      <c r="E18" s="243"/>
      <c r="F18" s="244">
        <v>0</v>
      </c>
      <c r="G18" s="53">
        <f>'DOE25'!J253</f>
        <v>0</v>
      </c>
      <c r="H18" s="53">
        <f>'DOE25'!K253</f>
        <v>0</v>
      </c>
      <c r="I18" s="254"/>
    </row>
    <row r="19" spans="1:9" x14ac:dyDescent="0.2">
      <c r="A19" s="32">
        <v>1800</v>
      </c>
      <c r="B19" t="s">
        <v>803</v>
      </c>
      <c r="C19" s="273">
        <f t="shared" si="0"/>
        <v>0</v>
      </c>
      <c r="D19" s="20">
        <f>'DOE25'!L254-F19-G19-H19</f>
        <v>0</v>
      </c>
      <c r="E19" s="243"/>
      <c r="F19" s="244">
        <v>0</v>
      </c>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623532.5</v>
      </c>
      <c r="D25" s="243"/>
      <c r="E25" s="243"/>
      <c r="F25" s="253"/>
      <c r="G25" s="251"/>
      <c r="H25" s="251"/>
      <c r="I25" s="252">
        <f>'DOE25'!L261+'DOE25'!L262+'DOE25'!L342+'DOE25'!L343</f>
        <v>623532.5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757318.03</v>
      </c>
      <c r="D29" s="281">
        <f>'DOE25'!L359+'DOE25'!L360+'DOE25'!L361-'DOE25'!I368-F29-G29-H29</f>
        <v>85781.030000000028</v>
      </c>
      <c r="E29" s="243"/>
      <c r="F29" s="244">
        <v>671537</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3119289.1200000006</v>
      </c>
      <c r="D31" s="20">
        <f>'DOE25'!L291+'DOE25'!L310+'DOE25'!L329+'DOE25'!L334+'DOE25'!L335+'DOE25'!L336-F31-G31-H31</f>
        <v>2684229.9000000004</v>
      </c>
      <c r="E31" s="243"/>
      <c r="F31" s="244">
        <v>0</v>
      </c>
      <c r="G31" s="53">
        <f>'DOE25'!J291+'DOE25'!J310+'DOE25'!J329+'DOE25'!J334+'DOE25'!J335+'DOE25'!J336</f>
        <v>424620.55999999994</v>
      </c>
      <c r="H31" s="53">
        <f>'DOE25'!K291+'DOE25'!K310+'DOE25'!K329+'DOE25'!K334+'DOE25'!K335+'DOE25'!K336</f>
        <v>10438.66</v>
      </c>
      <c r="I31" s="254"/>
    </row>
    <row r="32" spans="1:9" ht="12" thickBot="1" x14ac:dyDescent="0.25">
      <c r="C32" s="274"/>
      <c r="G32" s="249"/>
      <c r="H32" s="249"/>
      <c r="I32" s="256"/>
    </row>
    <row r="33" spans="1:9" ht="12" thickTop="1" x14ac:dyDescent="0.2">
      <c r="B33" t="s">
        <v>809</v>
      </c>
      <c r="D33" s="245">
        <f t="shared" ref="D33:I33" si="1">SUM(D5:D31)</f>
        <v>41510613.850000001</v>
      </c>
      <c r="E33" s="245">
        <f t="shared" si="1"/>
        <v>1757114.1499999994</v>
      </c>
      <c r="F33" s="245">
        <f t="shared" si="1"/>
        <v>4042294.4299999997</v>
      </c>
      <c r="G33" s="245">
        <f t="shared" si="1"/>
        <v>855999.25</v>
      </c>
      <c r="H33" s="245">
        <f t="shared" si="1"/>
        <v>119272.57999999999</v>
      </c>
      <c r="I33" s="245">
        <f t="shared" si="1"/>
        <v>623532.5</v>
      </c>
    </row>
    <row r="35" spans="1:9" ht="12" thickBot="1" x14ac:dyDescent="0.25">
      <c r="B35" s="249" t="s">
        <v>831</v>
      </c>
      <c r="D35" s="250">
        <f>E33</f>
        <v>1757114.1499999994</v>
      </c>
      <c r="E35" s="246"/>
      <c r="F35" s="333" t="s">
        <v>1632</v>
      </c>
      <c r="G35" s="334"/>
      <c r="H35" s="334"/>
      <c r="I35" s="334"/>
    </row>
    <row r="36" spans="1:9" ht="12" thickTop="1" x14ac:dyDescent="0.2">
      <c r="B36" t="s">
        <v>810</v>
      </c>
      <c r="D36" s="20">
        <f>D33</f>
        <v>41510613.850000001</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14" sqref="E1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Contoocook Valley School District</v>
      </c>
      <c r="B2" s="126">
        <f>'DOE25'!B2</f>
        <v>112</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18708090.98</v>
      </c>
      <c r="G4" s="300">
        <f>'DOE25'!L212+'DOE25'!L291</f>
        <v>18708090.979999997</v>
      </c>
      <c r="H4" s="353">
        <f>F4-G4</f>
        <v>0</v>
      </c>
      <c r="I4" s="371" t="str">
        <f>IF(H4=0,"","ISSUES!! Please review page 7 and 11 totals in comparison with total on this page")</f>
        <v/>
      </c>
      <c r="N4"/>
    </row>
    <row r="5" spans="1:18" x14ac:dyDescent="0.2">
      <c r="A5" s="21" t="s">
        <v>980</v>
      </c>
      <c r="B5" s="301">
        <f>IFERROR(VLOOKUP(A5,'School Tables'!$C$3:$D$365,2,FALSE),"")</f>
        <v>22215</v>
      </c>
      <c r="C5" s="294" t="str">
        <f>IFERROR(INDEX('School Tables'!$B$3:$B$365,MATCH('School Level Expenditures'!B5,'School Tables'!$D$3:$D$365,0)),"")</f>
        <v>Contoocook Valley</v>
      </c>
      <c r="D5" s="291">
        <v>1942393.99</v>
      </c>
      <c r="E5" s="291">
        <v>350375.16</v>
      </c>
      <c r="F5" s="304">
        <f>D5+E5</f>
        <v>2292769.15</v>
      </c>
      <c r="G5" s="294"/>
      <c r="H5" s="294"/>
      <c r="I5" s="372"/>
      <c r="N5"/>
    </row>
    <row r="6" spans="1:18" x14ac:dyDescent="0.2">
      <c r="A6" s="21" t="s">
        <v>981</v>
      </c>
      <c r="B6" s="301">
        <f>IFERROR(VLOOKUP(A6,'School Tables'!$C$3:$D$365,2,FALSE),"")</f>
        <v>22225</v>
      </c>
      <c r="C6" s="294" t="str">
        <f>IFERROR(INDEX('School Tables'!$B$3:$B$365,MATCH('School Level Expenditures'!B6,'School Tables'!$D$3:$D$365,0)),"")</f>
        <v>Contoocook Valley</v>
      </c>
      <c r="D6" s="291">
        <v>2045806.8</v>
      </c>
      <c r="E6" s="291">
        <v>248877.04</v>
      </c>
      <c r="F6" s="304">
        <f t="shared" ref="F6:F20" si="0">D6+E6</f>
        <v>2294683.84</v>
      </c>
      <c r="G6" s="294"/>
      <c r="H6" s="294"/>
      <c r="I6" s="372"/>
      <c r="N6"/>
    </row>
    <row r="7" spans="1:18" x14ac:dyDescent="0.2">
      <c r="A7" s="21" t="s">
        <v>982</v>
      </c>
      <c r="B7" s="301">
        <f>IFERROR(VLOOKUP(A7,'School Tables'!$C$3:$D$365,2,FALSE),"")</f>
        <v>22230</v>
      </c>
      <c r="C7" s="294" t="str">
        <f>IFERROR(INDEX('School Tables'!$B$3:$B$365,MATCH('School Level Expenditures'!B7,'School Tables'!$D$3:$D$365,0)),"")</f>
        <v>Contoocook Valley</v>
      </c>
      <c r="D7" s="291">
        <v>1774258.15</v>
      </c>
      <c r="E7" s="291">
        <v>75443.009999999995</v>
      </c>
      <c r="F7" s="304">
        <f t="shared" si="0"/>
        <v>1849701.16</v>
      </c>
      <c r="G7" s="294"/>
      <c r="H7" s="294"/>
      <c r="I7" s="354"/>
      <c r="N7"/>
    </row>
    <row r="8" spans="1:18" x14ac:dyDescent="0.2">
      <c r="A8" s="21" t="s">
        <v>983</v>
      </c>
      <c r="B8" s="301">
        <f>IFERROR(VLOOKUP(A8,'School Tables'!$C$3:$D$365,2,FALSE),"")</f>
        <v>22245</v>
      </c>
      <c r="C8" s="294" t="str">
        <f>IFERROR(INDEX('School Tables'!$B$3:$B$365,MATCH('School Level Expenditures'!B8,'School Tables'!$D$3:$D$365,0)),"")</f>
        <v>Contoocook Valley</v>
      </c>
      <c r="D8" s="291">
        <v>1540300.19</v>
      </c>
      <c r="E8" s="291">
        <v>71556.11</v>
      </c>
      <c r="F8" s="304">
        <f t="shared" si="0"/>
        <v>1611856.3</v>
      </c>
      <c r="G8" s="294"/>
      <c r="H8" s="294"/>
      <c r="I8" s="354"/>
      <c r="N8"/>
    </row>
    <row r="9" spans="1:18" x14ac:dyDescent="0.2">
      <c r="A9" s="21" t="s">
        <v>984</v>
      </c>
      <c r="B9" s="301">
        <f>IFERROR(VLOOKUP(A9,'School Tables'!$C$3:$D$365,2,FALSE),"")</f>
        <v>22250</v>
      </c>
      <c r="C9" s="294" t="str">
        <f>IFERROR(INDEX('School Tables'!$B$3:$B$365,MATCH('School Level Expenditures'!B9,'School Tables'!$D$3:$D$365,0)),"")</f>
        <v>Contoocook Valley</v>
      </c>
      <c r="D9" s="291">
        <v>2578489.06</v>
      </c>
      <c r="E9" s="291">
        <v>72257.89</v>
      </c>
      <c r="F9" s="304">
        <f t="shared" si="0"/>
        <v>2650746.9500000002</v>
      </c>
      <c r="G9" s="294"/>
      <c r="H9" s="294"/>
      <c r="I9" s="354"/>
      <c r="N9"/>
    </row>
    <row r="10" spans="1:18" x14ac:dyDescent="0.2">
      <c r="A10" s="21" t="s">
        <v>985</v>
      </c>
      <c r="B10" s="301">
        <f>IFERROR(VLOOKUP(A10,'School Tables'!$C$3:$D$365,2,FALSE),"")</f>
        <v>22260</v>
      </c>
      <c r="C10" s="294" t="str">
        <f>IFERROR(INDEX('School Tables'!$B$3:$B$365,MATCH('School Level Expenditures'!B10,'School Tables'!$D$3:$D$365,0)),"")</f>
        <v>Contoocook Valley</v>
      </c>
      <c r="D10" s="291">
        <v>1570361.25</v>
      </c>
      <c r="E10" s="291">
        <v>86626.07</v>
      </c>
      <c r="F10" s="304">
        <f t="shared" si="0"/>
        <v>1656987.32</v>
      </c>
      <c r="G10" s="294"/>
      <c r="H10" s="294"/>
      <c r="I10" s="126"/>
      <c r="N10"/>
    </row>
    <row r="11" spans="1:18" x14ac:dyDescent="0.2">
      <c r="A11" s="21" t="s">
        <v>988</v>
      </c>
      <c r="B11" s="301">
        <f>IFERROR(VLOOKUP(A11,'School Tables'!$C$3:$D$365,2,FALSE),"")</f>
        <v>22310</v>
      </c>
      <c r="C11" s="294" t="str">
        <f>IFERROR(INDEX('School Tables'!$B$3:$B$365,MATCH('School Level Expenditures'!B11,'School Tables'!$D$3:$D$365,0)),"")</f>
        <v>Contoocook Valley</v>
      </c>
      <c r="D11" s="291">
        <v>3851544.73</v>
      </c>
      <c r="E11" s="291">
        <v>435597.27</v>
      </c>
      <c r="F11" s="304">
        <f t="shared" si="0"/>
        <v>4287142</v>
      </c>
      <c r="G11" s="294"/>
      <c r="H11" s="294"/>
      <c r="I11" s="126"/>
      <c r="N11"/>
    </row>
    <row r="12" spans="1:18" x14ac:dyDescent="0.2">
      <c r="A12" s="21" t="s">
        <v>989</v>
      </c>
      <c r="B12" s="301">
        <f>IFERROR(VLOOKUP(A12,'School Tables'!$C$3:$D$365,2,FALSE),"")</f>
        <v>22330</v>
      </c>
      <c r="C12" s="294" t="str">
        <f>IFERROR(INDEX('School Tables'!$B$3:$B$365,MATCH('School Level Expenditures'!B12,'School Tables'!$D$3:$D$365,0)),"")</f>
        <v>Contoocook Valley</v>
      </c>
      <c r="D12" s="291">
        <v>1645303.8</v>
      </c>
      <c r="E12" s="291">
        <v>75644.160000000003</v>
      </c>
      <c r="F12" s="304">
        <f t="shared" si="0"/>
        <v>1720947.96</v>
      </c>
      <c r="G12" s="294"/>
      <c r="H12" s="294"/>
      <c r="I12" s="126"/>
      <c r="N12"/>
    </row>
    <row r="13" spans="1:18" x14ac:dyDescent="0.2">
      <c r="A13" s="21" t="s">
        <v>1555</v>
      </c>
      <c r="B13" s="301">
        <f>IFERROR(VLOOKUP(A13,'School Tables'!$C$3:$D$365,2,FALSE),"")</f>
        <v>99999</v>
      </c>
      <c r="C13" s="294" t="str">
        <f>IFERROR(INDEX('School Tables'!$B$3:$B$365,MATCH('School Level Expenditures'!B13,'School Tables'!$D$3:$D$365,0)),"")</f>
        <v>Other District Expenditures</v>
      </c>
      <c r="D13" s="291">
        <v>0</v>
      </c>
      <c r="E13" s="291">
        <v>343256.3</v>
      </c>
      <c r="F13" s="304">
        <f t="shared" si="0"/>
        <v>343256.3</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16948457.969999999</v>
      </c>
      <c r="E21" s="351">
        <f>SUM(E5:E20)</f>
        <v>1759633.01</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13465504.119999999</v>
      </c>
      <c r="G24" s="300">
        <f>'DOE25'!L230+'DOE25'!L310</f>
        <v>13465504.119999997</v>
      </c>
      <c r="H24" s="353">
        <f>F24-G24</f>
        <v>0</v>
      </c>
      <c r="I24" s="371" t="str">
        <f>IF(H24=0,"","ISSUES!! Please review page 8 and 12 totals in comparison with total on this page")</f>
        <v/>
      </c>
      <c r="N24"/>
    </row>
    <row r="25" spans="1:14" x14ac:dyDescent="0.2">
      <c r="A25" s="21" t="s">
        <v>979</v>
      </c>
      <c r="B25" s="301">
        <f>IFERROR(VLOOKUP(A25,'School Tables'!$I$3:$J$80,2,FALSE),"")</f>
        <v>22210</v>
      </c>
      <c r="C25" s="294" t="str">
        <f t="array" ref="C25">IFERROR(INDEX('School Tables'!$H$3:$H$80,MATCH('School Level Expenditures'!B25,'School Tables'!$J$3:$J$80,0)),"")</f>
        <v>Contoocook Valley</v>
      </c>
      <c r="D25" s="291">
        <v>5627613.4900000002</v>
      </c>
      <c r="E25" s="291">
        <v>234060.6</v>
      </c>
      <c r="F25" s="304">
        <f>D25+E25</f>
        <v>5861674.0899999999</v>
      </c>
      <c r="G25" s="294"/>
      <c r="H25" s="294"/>
      <c r="I25" s="372"/>
      <c r="N25"/>
    </row>
    <row r="26" spans="1:14" x14ac:dyDescent="0.2">
      <c r="A26" s="21" t="s">
        <v>987</v>
      </c>
      <c r="B26" s="301">
        <f>IFERROR(VLOOKUP(A26,'School Tables'!$I$3:$J$80,2,FALSE),"")</f>
        <v>22295</v>
      </c>
      <c r="C26" s="294" t="str">
        <f t="array" ref="C26">IFERROR(INDEX('School Tables'!$H$3:$H$80,MATCH('School Level Expenditures'!B26,'School Tables'!$J$3:$J$80,0)),"")</f>
        <v>Contoocook Valley</v>
      </c>
      <c r="D26" s="291">
        <v>7252739.1399999997</v>
      </c>
      <c r="E26" s="291">
        <v>351090.89</v>
      </c>
      <c r="F26" s="304">
        <f t="shared" ref="F26:F32" si="1">D26+E26</f>
        <v>7603830.0299999993</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12880352.629999999</v>
      </c>
      <c r="E33" s="351">
        <f>SUM(E25:E32)</f>
        <v>585151.49</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15332117.129999999</v>
      </c>
      <c r="G36" s="300">
        <f>'DOE25'!L248+'DOE25'!L329</f>
        <v>15332117.130000001</v>
      </c>
      <c r="H36" s="353">
        <f>F36-G36</f>
        <v>0</v>
      </c>
      <c r="I36" s="371" t="str">
        <f>IF(H36=0,"","ISSUES!! Please review page 9 and 13 totals in comparison with total on this page")</f>
        <v/>
      </c>
      <c r="N36"/>
    </row>
    <row r="37" spans="1:14" x14ac:dyDescent="0.2">
      <c r="A37" s="21" t="s">
        <v>986</v>
      </c>
      <c r="B37" s="301">
        <f>IFERROR(VLOOKUP(A37,'School Tables'!$O$3:$P$118,2,FALSE),"")</f>
        <v>22290</v>
      </c>
      <c r="C37" s="294" t="str">
        <f t="array" ref="C37">IFERROR(INDEX('School Tables'!$N$3:$N$118,MATCH('School Level Expenditures'!B37,'School Tables'!$P$3:$P$118,0)),"")</f>
        <v>Contoocook Valley</v>
      </c>
      <c r="D37" s="291">
        <v>14557403.1</v>
      </c>
      <c r="E37" s="291">
        <v>774714.03</v>
      </c>
      <c r="F37" s="304">
        <f t="shared" ref="F37:F42" si="2">D37+E37</f>
        <v>15332117.129999999</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14557403.1</v>
      </c>
      <c r="E43" s="352">
        <f>SUM(E37:E42)</f>
        <v>774714.03</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Contoocook Valley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3856137.52</v>
      </c>
      <c r="D8" s="95">
        <f>'DOE25'!G9</f>
        <v>784159.73</v>
      </c>
      <c r="E8" s="95">
        <f>'DOE25'!H9</f>
        <v>0</v>
      </c>
      <c r="F8" s="95">
        <f>'DOE25'!I9</f>
        <v>0</v>
      </c>
      <c r="G8" s="95">
        <f>'DOE25'!J9</f>
        <v>0</v>
      </c>
      <c r="H8" s="124"/>
      <c r="I8" s="124"/>
    </row>
    <row r="9" spans="1:9" x14ac:dyDescent="0.2">
      <c r="A9" s="1" t="s">
        <v>140</v>
      </c>
      <c r="B9" s="6">
        <v>110</v>
      </c>
      <c r="C9" s="95">
        <f>'DOE25'!F10</f>
        <v>6210.57</v>
      </c>
      <c r="D9" s="95">
        <f>'DOE25'!G10</f>
        <v>0</v>
      </c>
      <c r="E9" s="95">
        <f>'DOE25'!H10</f>
        <v>0</v>
      </c>
      <c r="F9" s="95">
        <f>'DOE25'!I10</f>
        <v>0</v>
      </c>
      <c r="G9" s="95">
        <f>'DOE25'!J10</f>
        <v>3984012.11</v>
      </c>
      <c r="H9" s="124"/>
      <c r="I9" s="124"/>
    </row>
    <row r="10" spans="1:9" x14ac:dyDescent="0.2">
      <c r="A10" s="1" t="s">
        <v>141</v>
      </c>
      <c r="B10" s="6">
        <v>120</v>
      </c>
      <c r="C10" s="95">
        <f>'DOE25'!F11</f>
        <v>189031.53</v>
      </c>
      <c r="D10" s="24" t="s">
        <v>288</v>
      </c>
      <c r="E10" s="24" t="s">
        <v>288</v>
      </c>
      <c r="F10" s="24" t="s">
        <v>288</v>
      </c>
      <c r="G10" s="24" t="s">
        <v>288</v>
      </c>
      <c r="H10" s="124"/>
      <c r="I10" s="124"/>
    </row>
    <row r="11" spans="1:9" x14ac:dyDescent="0.2">
      <c r="A11" s="1" t="s">
        <v>142</v>
      </c>
      <c r="B11" s="6">
        <v>130</v>
      </c>
      <c r="C11" s="95">
        <f>'DOE25'!F12</f>
        <v>2266913.4</v>
      </c>
      <c r="D11" s="95">
        <f>'DOE25'!G12</f>
        <v>0</v>
      </c>
      <c r="E11" s="95">
        <f>'DOE25'!H12</f>
        <v>0</v>
      </c>
      <c r="F11" s="95">
        <f>'DOE25'!I12</f>
        <v>0</v>
      </c>
      <c r="G11" s="95">
        <f>'DOE25'!J12</f>
        <v>0</v>
      </c>
      <c r="H11" s="124"/>
      <c r="I11" s="124"/>
    </row>
    <row r="12" spans="1:9" x14ac:dyDescent="0.2">
      <c r="A12" s="1" t="s">
        <v>143</v>
      </c>
      <c r="B12" s="6">
        <v>140</v>
      </c>
      <c r="C12" s="95">
        <f>'DOE25'!F13</f>
        <v>0</v>
      </c>
      <c r="D12" s="95">
        <f>'DOE25'!G13</f>
        <v>130106.89</v>
      </c>
      <c r="E12" s="95">
        <f>'DOE25'!H13</f>
        <v>1386611.57</v>
      </c>
      <c r="F12" s="95">
        <f>'DOE25'!I13</f>
        <v>0</v>
      </c>
      <c r="G12" s="95">
        <f>'DOE25'!J13</f>
        <v>0</v>
      </c>
      <c r="H12" s="124"/>
      <c r="I12" s="124"/>
    </row>
    <row r="13" spans="1:9" x14ac:dyDescent="0.2">
      <c r="A13" s="1" t="s">
        <v>144</v>
      </c>
      <c r="B13" s="6">
        <v>150</v>
      </c>
      <c r="C13" s="95">
        <f>'DOE25'!F14</f>
        <v>115351.29</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45329.47</v>
      </c>
      <c r="D17" s="95">
        <f>'DOE25'!G18</f>
        <v>0</v>
      </c>
      <c r="E17" s="95">
        <f>'DOE25'!H18</f>
        <v>0</v>
      </c>
      <c r="F17" s="95">
        <f>'DOE25'!I18</f>
        <v>0</v>
      </c>
      <c r="G17" s="95">
        <f>'DOE25'!J18</f>
        <v>0</v>
      </c>
      <c r="H17" s="124"/>
      <c r="I17" s="124"/>
    </row>
    <row r="18" spans="1:9" ht="12" thickTop="1" x14ac:dyDescent="0.2">
      <c r="A18" s="38" t="s">
        <v>149</v>
      </c>
      <c r="B18" s="39"/>
      <c r="C18" s="41">
        <f>SUM(C8:C17)</f>
        <v>6478973.7799999993</v>
      </c>
      <c r="D18" s="41">
        <f>SUM(D8:D17)</f>
        <v>914266.62</v>
      </c>
      <c r="E18" s="41">
        <f>SUM(E8:E17)</f>
        <v>1386611.57</v>
      </c>
      <c r="F18" s="41">
        <f>SUM(F8:F17)</f>
        <v>0</v>
      </c>
      <c r="G18" s="41">
        <f>SUM(G8:G17)</f>
        <v>3984012.11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884709.92</v>
      </c>
      <c r="E21" s="95">
        <f>'DOE25'!H22</f>
        <v>1382203.48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403265.38</v>
      </c>
      <c r="D23" s="95">
        <f>'DOE25'!G24</f>
        <v>0</v>
      </c>
      <c r="E23" s="95">
        <f>'DOE25'!H24</f>
        <v>1900.6</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80.540000000000006</v>
      </c>
      <c r="D29" s="95">
        <f>'DOE25'!G30</f>
        <v>28629.7</v>
      </c>
      <c r="E29" s="95">
        <f>'DOE25'!H30</f>
        <v>2507.4899999999998</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403345.91999999998</v>
      </c>
      <c r="D31" s="41">
        <f>SUM(D21:D30)</f>
        <v>913339.62</v>
      </c>
      <c r="E31" s="41">
        <f>SUM(E21:E30)</f>
        <v>1386611.57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700000</v>
      </c>
      <c r="D43" s="95">
        <f>'DOE25'!G44</f>
        <v>0</v>
      </c>
      <c r="E43" s="95">
        <f>'DOE25'!H44</f>
        <v>0</v>
      </c>
      <c r="F43" s="95">
        <f>'DOE25'!I44</f>
        <v>0</v>
      </c>
      <c r="G43" s="24" t="s">
        <v>288</v>
      </c>
      <c r="H43" s="124"/>
      <c r="I43" s="124"/>
    </row>
    <row r="44" spans="1:9" x14ac:dyDescent="0.2">
      <c r="A44" s="1" t="s">
        <v>864</v>
      </c>
      <c r="B44" s="6">
        <v>753</v>
      </c>
      <c r="C44" s="95">
        <f>'DOE25'!F45</f>
        <v>796817.19</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491294.66</v>
      </c>
      <c r="D47" s="95">
        <f>'DOE25'!G48</f>
        <v>927</v>
      </c>
      <c r="E47" s="95">
        <f>'DOE25'!H48</f>
        <v>0</v>
      </c>
      <c r="F47" s="95">
        <f>'DOE25'!I48</f>
        <v>0</v>
      </c>
      <c r="G47" s="95">
        <f>'DOE25'!J48</f>
        <v>3984012.11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4087516.01</v>
      </c>
      <c r="D49" s="24" t="s">
        <v>288</v>
      </c>
      <c r="E49" s="24" t="s">
        <v>288</v>
      </c>
      <c r="F49" s="24" t="s">
        <v>288</v>
      </c>
      <c r="G49" s="24" t="s">
        <v>288</v>
      </c>
      <c r="H49" s="124"/>
      <c r="I49" s="124"/>
    </row>
    <row r="50" spans="1:9" ht="12.75" thickTop="1" thickBot="1" x14ac:dyDescent="0.25">
      <c r="A50" s="38" t="s">
        <v>884</v>
      </c>
      <c r="B50" s="48"/>
      <c r="C50" s="41">
        <f>SUM(C34:C49)</f>
        <v>6075627.8599999994</v>
      </c>
      <c r="D50" s="41">
        <f>SUM(D34:D49)</f>
        <v>927</v>
      </c>
      <c r="E50" s="41">
        <f>SUM(E34:E49)</f>
        <v>0</v>
      </c>
      <c r="F50" s="41">
        <f>SUM(F34:F49)</f>
        <v>0</v>
      </c>
      <c r="G50" s="41">
        <f>SUM(G34:G49)</f>
        <v>3984012.11</v>
      </c>
      <c r="H50" s="124"/>
      <c r="I50" s="124"/>
    </row>
    <row r="51" spans="1:9" ht="12" thickTop="1" x14ac:dyDescent="0.2">
      <c r="A51" s="38" t="s">
        <v>885</v>
      </c>
      <c r="B51" s="2"/>
      <c r="C51" s="41">
        <f>C50+C31</f>
        <v>6478973.7799999993</v>
      </c>
      <c r="D51" s="41">
        <f>D50+D31</f>
        <v>914266.62</v>
      </c>
      <c r="E51" s="41">
        <f>E50+E31</f>
        <v>1386611.57</v>
      </c>
      <c r="F51" s="41">
        <f>F50+F31</f>
        <v>0</v>
      </c>
      <c r="G51" s="41">
        <f>G50+G31</f>
        <v>3984012.11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35327666</v>
      </c>
      <c r="D56" s="95">
        <f>'DOE25'!G60</f>
        <v>0</v>
      </c>
      <c r="E56" s="95">
        <f>'DOE25'!H60</f>
        <v>0</v>
      </c>
      <c r="F56" s="95">
        <f>'DOE25'!I60</f>
        <v>0</v>
      </c>
      <c r="G56" s="95">
        <f>'DOE25'!J60</f>
        <v>0</v>
      </c>
      <c r="H56"/>
      <c r="I56"/>
    </row>
    <row r="57" spans="1:9" x14ac:dyDescent="0.2">
      <c r="A57" s="1" t="s">
        <v>164</v>
      </c>
      <c r="B57" s="6" t="s">
        <v>165</v>
      </c>
      <c r="C57" s="95">
        <f>'DOE25'!F79</f>
        <v>110374.59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9883.15</v>
      </c>
      <c r="D59" s="95">
        <f>'DOE25'!G96</f>
        <v>788.91</v>
      </c>
      <c r="E59" s="95">
        <f>'DOE25'!H96</f>
        <v>0</v>
      </c>
      <c r="F59" s="95">
        <f>'DOE25'!I96</f>
        <v>0</v>
      </c>
      <c r="G59" s="95">
        <f>'DOE25'!J96</f>
        <v>1704.4</v>
      </c>
      <c r="H59"/>
      <c r="I59"/>
    </row>
    <row r="60" spans="1:9" x14ac:dyDescent="0.2">
      <c r="A60" s="1" t="s">
        <v>170</v>
      </c>
      <c r="B60" s="118" t="s">
        <v>171</v>
      </c>
      <c r="C60" s="24" t="s">
        <v>288</v>
      </c>
      <c r="D60" s="95">
        <f>'DOE25'!G97</f>
        <v>16565.919999999998</v>
      </c>
      <c r="E60" s="24" t="s">
        <v>288</v>
      </c>
      <c r="F60" s="24" t="s">
        <v>288</v>
      </c>
      <c r="G60" s="24" t="s">
        <v>288</v>
      </c>
      <c r="H60"/>
      <c r="I60"/>
    </row>
    <row r="61" spans="1:9" ht="12" thickBot="1" x14ac:dyDescent="0.25">
      <c r="A61" s="1" t="s">
        <v>172</v>
      </c>
      <c r="B61" s="118" t="s">
        <v>173</v>
      </c>
      <c r="C61" s="95">
        <f>SUM('DOE25'!F98:F110)</f>
        <v>332931.73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453189.47</v>
      </c>
      <c r="D62" s="130">
        <f>SUM(D57:D61)</f>
        <v>17354.829999999998</v>
      </c>
      <c r="E62" s="130">
        <f>SUM(E57:E61)</f>
        <v>0</v>
      </c>
      <c r="F62" s="130">
        <f>SUM(F57:F61)</f>
        <v>0</v>
      </c>
      <c r="G62" s="130">
        <f>SUM(G57:G61)</f>
        <v>1704.4</v>
      </c>
      <c r="H62"/>
      <c r="I62"/>
    </row>
    <row r="63" spans="1:9" ht="12" thickTop="1" x14ac:dyDescent="0.2">
      <c r="A63" s="29" t="s">
        <v>175</v>
      </c>
      <c r="B63" s="6"/>
      <c r="C63" s="22">
        <f>C56+C62</f>
        <v>35780855.469999999</v>
      </c>
      <c r="D63" s="22">
        <f>D56+D62</f>
        <v>17354.829999999998</v>
      </c>
      <c r="E63" s="22">
        <f>E56+E62</f>
        <v>0</v>
      </c>
      <c r="F63" s="22">
        <f>F56+F62</f>
        <v>0</v>
      </c>
      <c r="G63" s="22">
        <f>G56+G62</f>
        <v>1704.4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8508944.0199999996</v>
      </c>
      <c r="D66" s="24" t="s">
        <v>288</v>
      </c>
      <c r="E66" s="24" t="s">
        <v>288</v>
      </c>
      <c r="F66" s="24" t="s">
        <v>288</v>
      </c>
      <c r="G66" s="24" t="s">
        <v>288</v>
      </c>
      <c r="H66"/>
      <c r="I66"/>
    </row>
    <row r="67" spans="1:9" x14ac:dyDescent="0.2">
      <c r="A67" s="1" t="s">
        <v>770</v>
      </c>
      <c r="B67" s="6">
        <v>3112</v>
      </c>
      <c r="C67" s="95">
        <f>'DOE25'!F118</f>
        <v>4259836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12768780.02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67857.58</v>
      </c>
      <c r="D75" s="24" t="s">
        <v>288</v>
      </c>
      <c r="E75" s="24" t="s">
        <v>288</v>
      </c>
      <c r="F75" s="24" t="s">
        <v>288</v>
      </c>
      <c r="G75" s="24" t="s">
        <v>288</v>
      </c>
      <c r="H75"/>
      <c r="I75"/>
    </row>
    <row r="76" spans="1:9" x14ac:dyDescent="0.2">
      <c r="A76" s="1" t="s">
        <v>257</v>
      </c>
      <c r="B76" s="6" t="s">
        <v>179</v>
      </c>
      <c r="C76" s="95">
        <f>SUM('DOE25'!F127:F130)</f>
        <v>28585.85</v>
      </c>
      <c r="D76" s="24" t="s">
        <v>288</v>
      </c>
      <c r="E76" s="95">
        <f>SUM('DOE25'!H127:H130)</f>
        <v>10096.57</v>
      </c>
      <c r="F76" s="95">
        <f>SUM('DOE25'!I127:I130)</f>
        <v>0</v>
      </c>
      <c r="G76" s="24" t="s">
        <v>288</v>
      </c>
      <c r="H76"/>
      <c r="I76"/>
    </row>
    <row r="77" spans="1:9" ht="12" thickBot="1" x14ac:dyDescent="0.25">
      <c r="A77" s="1" t="s">
        <v>258</v>
      </c>
      <c r="B77" s="6" t="s">
        <v>180</v>
      </c>
      <c r="C77" s="95">
        <f>SUM('DOE25'!F131:F135)</f>
        <v>0</v>
      </c>
      <c r="D77" s="95">
        <f>SUM('DOE25'!G131:G135)</f>
        <v>14636.64</v>
      </c>
      <c r="E77" s="95">
        <f>SUM('DOE25'!H131:H135)</f>
        <v>80187.460000000006</v>
      </c>
      <c r="F77" s="95">
        <f>SUM('DOE25'!I131:I135)</f>
        <v>0</v>
      </c>
      <c r="G77" s="95">
        <f>SUM('DOE25'!J131:J135)</f>
        <v>0</v>
      </c>
      <c r="H77"/>
      <c r="I77"/>
    </row>
    <row r="78" spans="1:9" ht="12.75" thickTop="1" thickBot="1" x14ac:dyDescent="0.25">
      <c r="A78" s="29" t="s">
        <v>259</v>
      </c>
      <c r="B78" s="6"/>
      <c r="C78" s="130">
        <f>SUM(C72:C77)</f>
        <v>96443.43</v>
      </c>
      <c r="D78" s="130">
        <f>SUM(D72:D77)</f>
        <v>14636.64</v>
      </c>
      <c r="E78" s="130">
        <f>SUM(E72:E77)</f>
        <v>90284.03</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12865223.449999999</v>
      </c>
      <c r="D81" s="130">
        <f>SUM(D79:D80)+D78+D70</f>
        <v>14636.64</v>
      </c>
      <c r="E81" s="130">
        <f>SUM(E79:E80)+E78+E70</f>
        <v>90284.03</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389046.22</v>
      </c>
      <c r="D88" s="331">
        <f>SUM('DOE25'!G153:G162)</f>
        <v>597051.37</v>
      </c>
      <c r="E88" s="331">
        <f>SUM('DOE25'!H153:H162)</f>
        <v>3029005.0900000003</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389046.22</v>
      </c>
      <c r="D91" s="131">
        <f>SUM(D85:D90)</f>
        <v>597051.37</v>
      </c>
      <c r="E91" s="131">
        <f>SUM(E85:E90)</f>
        <v>3029005.0900000003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180911.4</v>
      </c>
      <c r="E96" s="95">
        <f>'DOE25'!H180</f>
        <v>0</v>
      </c>
      <c r="F96" s="95">
        <f>'DOE25'!I180</f>
        <v>0</v>
      </c>
      <c r="G96" s="95">
        <f>'DOE25'!J180</f>
        <v>670000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90924.36</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90924.36</v>
      </c>
      <c r="D103" s="86">
        <f>SUM(D93:D102)</f>
        <v>180911.4</v>
      </c>
      <c r="E103" s="86">
        <f>SUM(E93:E102)</f>
        <v>0</v>
      </c>
      <c r="F103" s="86">
        <f>SUM(F93:F102)</f>
        <v>0</v>
      </c>
      <c r="G103" s="86">
        <f>SUM(G93:G102)</f>
        <v>670000</v>
      </c>
    </row>
    <row r="104" spans="1:7" ht="12.75" thickTop="1" thickBot="1" x14ac:dyDescent="0.25">
      <c r="A104" s="33" t="s">
        <v>761</v>
      </c>
      <c r="C104" s="86">
        <f>C63+C81+C91+C103</f>
        <v>49126049.5</v>
      </c>
      <c r="D104" s="86">
        <f>D63+D81+D91+D103</f>
        <v>809954.24</v>
      </c>
      <c r="E104" s="86">
        <f>E63+E81+E91+E103</f>
        <v>3119289.12</v>
      </c>
      <c r="F104" s="86">
        <f>F63+F81+F91+F103</f>
        <v>0</v>
      </c>
      <c r="G104" s="86">
        <f>G63+G81+G103</f>
        <v>671704.4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15534017.620000001</v>
      </c>
      <c r="D109" s="24" t="s">
        <v>288</v>
      </c>
      <c r="E109" s="95">
        <f>('DOE25'!L277)+('DOE25'!L296)+('DOE25'!L315)</f>
        <v>1568716.37</v>
      </c>
      <c r="F109" s="24" t="s">
        <v>288</v>
      </c>
      <c r="G109" s="24" t="s">
        <v>288</v>
      </c>
    </row>
    <row r="110" spans="1:7" x14ac:dyDescent="0.2">
      <c r="A110" t="s">
        <v>198</v>
      </c>
      <c r="B110" s="32" t="s">
        <v>199</v>
      </c>
      <c r="C110" s="95">
        <f>('DOE25'!L199)+('DOE25'!L217)+('DOE25'!L235)</f>
        <v>10800002.789999999</v>
      </c>
      <c r="D110" s="24" t="s">
        <v>288</v>
      </c>
      <c r="E110" s="95">
        <f>('DOE25'!L278)+('DOE25'!L297)+('DOE25'!L316)</f>
        <v>463798.27</v>
      </c>
      <c r="F110" s="24" t="s">
        <v>288</v>
      </c>
      <c r="G110" s="24" t="s">
        <v>288</v>
      </c>
    </row>
    <row r="111" spans="1:7" x14ac:dyDescent="0.2">
      <c r="A111" t="s">
        <v>200</v>
      </c>
      <c r="B111" s="32" t="s">
        <v>165</v>
      </c>
      <c r="C111" s="95">
        <f>('DOE25'!L200)+('DOE25'!L218)+('DOE25'!L236)</f>
        <v>1133742.67</v>
      </c>
      <c r="D111" s="24" t="s">
        <v>288</v>
      </c>
      <c r="E111" s="95">
        <f>('DOE25'!L279)+('DOE25'!L298)+('DOE25'!L317)</f>
        <v>146628.57</v>
      </c>
      <c r="F111" s="24" t="s">
        <v>288</v>
      </c>
      <c r="G111" s="24" t="s">
        <v>288</v>
      </c>
    </row>
    <row r="112" spans="1:7" x14ac:dyDescent="0.2">
      <c r="A112" t="s">
        <v>201</v>
      </c>
      <c r="B112" s="32" t="s">
        <v>167</v>
      </c>
      <c r="C112" s="95">
        <f>('DOE25'!L201)+('DOE25'!L219)+('DOE25'!L237)</f>
        <v>549887.46</v>
      </c>
      <c r="D112" s="24" t="s">
        <v>288</v>
      </c>
      <c r="E112" s="95">
        <f>+('DOE25'!L280)+('DOE25'!L299)+('DOE25'!L318)</f>
        <v>10829.52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28017650.539999999</v>
      </c>
      <c r="D115" s="86">
        <f>SUM(D109:D114)</f>
        <v>0</v>
      </c>
      <c r="E115" s="86">
        <f>SUM(E109:E114)</f>
        <v>2189972.73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2667630.65</v>
      </c>
      <c r="D118" s="24" t="s">
        <v>288</v>
      </c>
      <c r="E118" s="95">
        <f>+('DOE25'!L282)+('DOE25'!L301)+('DOE25'!L320)</f>
        <v>217810.64</v>
      </c>
      <c r="F118" s="24" t="s">
        <v>288</v>
      </c>
      <c r="G118" s="24" t="s">
        <v>288</v>
      </c>
    </row>
    <row r="119" spans="1:7" x14ac:dyDescent="0.2">
      <c r="A119" t="s">
        <v>208</v>
      </c>
      <c r="B119" s="32" t="s">
        <v>209</v>
      </c>
      <c r="C119" s="95">
        <f>('DOE25'!L204)+('DOE25'!L222)+('DOE25'!L240)</f>
        <v>1075458.1800000002</v>
      </c>
      <c r="D119" s="24" t="s">
        <v>288</v>
      </c>
      <c r="E119" s="95">
        <f>+('DOE25'!L283)+('DOE25'!L302)+('DOE25'!L321)</f>
        <v>163422.93</v>
      </c>
      <c r="F119" s="24" t="s">
        <v>288</v>
      </c>
      <c r="G119" s="24" t="s">
        <v>288</v>
      </c>
    </row>
    <row r="120" spans="1:7" x14ac:dyDescent="0.2">
      <c r="A120" t="s">
        <v>210</v>
      </c>
      <c r="B120" s="32" t="s">
        <v>211</v>
      </c>
      <c r="C120" s="95">
        <f>('DOE25'!L205)+('DOE25'!L223)+('DOE25'!L241)</f>
        <v>2826566.5799999996</v>
      </c>
      <c r="D120" s="24" t="s">
        <v>288</v>
      </c>
      <c r="E120" s="95">
        <f>+('DOE25'!L284)+('DOE25'!L303)+('DOE25'!L322)</f>
        <v>202199.49</v>
      </c>
      <c r="F120" s="24" t="s">
        <v>288</v>
      </c>
      <c r="G120" s="24" t="s">
        <v>288</v>
      </c>
    </row>
    <row r="121" spans="1:7" x14ac:dyDescent="0.2">
      <c r="A121" t="s">
        <v>212</v>
      </c>
      <c r="B121" s="32" t="s">
        <v>213</v>
      </c>
      <c r="C121" s="95">
        <f>('DOE25'!L206)+('DOE25'!L224)+('DOE25'!L242)</f>
        <v>3869242.9299999997</v>
      </c>
      <c r="D121" s="24" t="s">
        <v>288</v>
      </c>
      <c r="E121" s="95">
        <f>+('DOE25'!L285)+('DOE25'!L304)+('DOE25'!L323)</f>
        <v>12432.53</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3680464.13</v>
      </c>
      <c r="D123" s="24" t="s">
        <v>288</v>
      </c>
      <c r="E123" s="95">
        <f>+('DOE25'!L287)+('DOE25'!L306)+('DOE25'!L325)</f>
        <v>332957.71999999997</v>
      </c>
      <c r="F123" s="24" t="s">
        <v>288</v>
      </c>
      <c r="G123" s="24" t="s">
        <v>288</v>
      </c>
    </row>
    <row r="124" spans="1:7" x14ac:dyDescent="0.2">
      <c r="A124" t="s">
        <v>218</v>
      </c>
      <c r="B124" s="32" t="s">
        <v>219</v>
      </c>
      <c r="C124" s="95">
        <f>('DOE25'!L209)+('DOE25'!L227)+('DOE25'!L245+'DOE25'!L255)</f>
        <v>2245781.25</v>
      </c>
      <c r="D124" s="24" t="s">
        <v>288</v>
      </c>
      <c r="E124" s="95">
        <f>+('DOE25'!L288)+('DOE25'!L307)+('DOE25'!L326)</f>
        <v>493.08</v>
      </c>
      <c r="F124" s="24" t="s">
        <v>288</v>
      </c>
      <c r="G124" s="24" t="s">
        <v>288</v>
      </c>
    </row>
    <row r="125" spans="1:7" x14ac:dyDescent="0.2">
      <c r="A125" t="s">
        <v>220</v>
      </c>
      <c r="B125" s="32" t="s">
        <v>221</v>
      </c>
      <c r="C125" s="95">
        <f>('DOE25'!L210)+('DOE25'!L228)+('DOE25'!L246)</f>
        <v>3628.85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809954.24</v>
      </c>
      <c r="E127" s="24" t="s">
        <v>288</v>
      </c>
      <c r="F127" s="24" t="s">
        <v>288</v>
      </c>
      <c r="G127" s="24" t="s">
        <v>288</v>
      </c>
    </row>
    <row r="128" spans="1:7" ht="12.75" thickTop="1" thickBot="1" x14ac:dyDescent="0.25">
      <c r="A128" s="33" t="s">
        <v>226</v>
      </c>
      <c r="C128" s="86">
        <f>SUM(C118:C127)</f>
        <v>16368772.569999998</v>
      </c>
      <c r="D128" s="86">
        <f>SUM(D118:D127)</f>
        <v>809954.24</v>
      </c>
      <c r="E128" s="86">
        <f>SUM(E118:E127)</f>
        <v>929316.39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540000</v>
      </c>
      <c r="D131" s="24" t="s">
        <v>288</v>
      </c>
      <c r="E131" s="129">
        <f>'DOE25'!L342</f>
        <v>0</v>
      </c>
      <c r="F131" s="24" t="s">
        <v>288</v>
      </c>
      <c r="G131" s="24" t="s">
        <v>288</v>
      </c>
    </row>
    <row r="132" spans="1:7" x14ac:dyDescent="0.2">
      <c r="A132" t="s">
        <v>230</v>
      </c>
      <c r="B132" s="32">
        <v>5120</v>
      </c>
      <c r="C132" s="95">
        <f>'DOE25'!L262</f>
        <v>83532.5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180911.4</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550793.92000000004</v>
      </c>
      <c r="D138" s="24" t="s">
        <v>288</v>
      </c>
      <c r="E138" s="24" t="s">
        <v>288</v>
      </c>
      <c r="F138" s="24" t="s">
        <v>288</v>
      </c>
      <c r="G138" s="24" t="s">
        <v>288</v>
      </c>
    </row>
    <row r="139" spans="1:7" x14ac:dyDescent="0.2">
      <c r="A139" t="s">
        <v>239</v>
      </c>
      <c r="B139" s="32">
        <v>5252</v>
      </c>
      <c r="C139" s="95">
        <f>'DOE25'!L402</f>
        <v>120910.48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-1704.4000000000233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1474443.9</v>
      </c>
      <c r="D144" s="141">
        <f>SUM(D130:D143)</f>
        <v>0</v>
      </c>
      <c r="E144" s="141">
        <f>SUM(E130:E143)</f>
        <v>0</v>
      </c>
      <c r="F144" s="141">
        <f>SUM(F130:F143)</f>
        <v>0</v>
      </c>
      <c r="G144" s="141">
        <f>SUM(G130:G143)</f>
        <v>0</v>
      </c>
    </row>
    <row r="145" spans="1:9" ht="12.75" thickTop="1" thickBot="1" x14ac:dyDescent="0.25">
      <c r="A145" s="33" t="s">
        <v>244</v>
      </c>
      <c r="C145" s="86">
        <f>(C115+C128+C144)</f>
        <v>45860867.009999998</v>
      </c>
      <c r="D145" s="86">
        <f>(D115+D128+D144)</f>
        <v>809954.24</v>
      </c>
      <c r="E145" s="86">
        <f>(E115+E128+E144)</f>
        <v>3119289.12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5</v>
      </c>
      <c r="D151" s="153">
        <f>'DOE25'!H491</f>
        <v>0</v>
      </c>
      <c r="E151" s="153">
        <f>'DOE25'!I491</f>
        <v>0</v>
      </c>
      <c r="F151" s="153">
        <f>'DOE25'!J491</f>
        <v>0</v>
      </c>
      <c r="G151" s="24" t="s">
        <v>288</v>
      </c>
    </row>
    <row r="152" spans="1:9" x14ac:dyDescent="0.2">
      <c r="A152" s="136" t="s">
        <v>28</v>
      </c>
      <c r="B152" s="152" t="str">
        <f>'DOE25'!F492</f>
        <v>02/15/2013</v>
      </c>
      <c r="C152" s="152" t="str">
        <f>'DOE25'!G492</f>
        <v>08/15/2018</v>
      </c>
      <c r="D152" s="152">
        <f>'DOE25'!H492</f>
        <v>0</v>
      </c>
      <c r="E152" s="152">
        <f>'DOE25'!I492</f>
        <v>0</v>
      </c>
      <c r="F152" s="152">
        <f>'DOE25'!J492</f>
        <v>0</v>
      </c>
      <c r="G152" s="24" t="s">
        <v>288</v>
      </c>
    </row>
    <row r="153" spans="1:9" x14ac:dyDescent="0.2">
      <c r="A153" s="136" t="s">
        <v>29</v>
      </c>
      <c r="B153" s="152" t="str">
        <f>'DOE25'!F493</f>
        <v>02/15/2023</v>
      </c>
      <c r="C153" s="152" t="str">
        <f>'DOE25'!G493</f>
        <v>08/15/2023</v>
      </c>
      <c r="D153" s="152">
        <f>'DOE25'!H493</f>
        <v>0</v>
      </c>
      <c r="E153" s="152">
        <f>'DOE25'!I493</f>
        <v>0</v>
      </c>
      <c r="F153" s="152">
        <f>'DOE25'!J493</f>
        <v>0</v>
      </c>
      <c r="G153" s="24" t="s">
        <v>288</v>
      </c>
    </row>
    <row r="154" spans="1:9" x14ac:dyDescent="0.2">
      <c r="A154" s="136" t="s">
        <v>30</v>
      </c>
      <c r="B154" s="137">
        <f>'DOE25'!F494</f>
        <v>3750000</v>
      </c>
      <c r="C154" s="137">
        <f>'DOE25'!G494</f>
        <v>920200</v>
      </c>
      <c r="D154" s="137">
        <f>'DOE25'!H494</f>
        <v>0</v>
      </c>
      <c r="E154" s="137">
        <f>'DOE25'!I494</f>
        <v>0</v>
      </c>
      <c r="F154" s="137">
        <f>'DOE25'!J494</f>
        <v>0</v>
      </c>
      <c r="G154" s="24" t="s">
        <v>288</v>
      </c>
    </row>
    <row r="155" spans="1:9" x14ac:dyDescent="0.2">
      <c r="A155" s="136" t="s">
        <v>31</v>
      </c>
      <c r="B155" s="137">
        <f>'DOE25'!F495</f>
        <v>1.69</v>
      </c>
      <c r="C155" s="137">
        <f>'DOE25'!G495</f>
        <v>2.2200000000000002</v>
      </c>
      <c r="D155" s="137">
        <f>'DOE25'!H495</f>
        <v>0</v>
      </c>
      <c r="E155" s="137">
        <f>'DOE25'!I495</f>
        <v>0</v>
      </c>
      <c r="F155" s="137">
        <f>'DOE25'!J495</f>
        <v>0</v>
      </c>
      <c r="G155" s="24" t="s">
        <v>288</v>
      </c>
    </row>
    <row r="156" spans="1:9" x14ac:dyDescent="0.2">
      <c r="A156" s="22" t="s">
        <v>32</v>
      </c>
      <c r="B156" s="137">
        <f>'DOE25'!F496</f>
        <v>1065000</v>
      </c>
      <c r="C156" s="137">
        <f>'DOE25'!G496</f>
        <v>735000</v>
      </c>
      <c r="D156" s="137">
        <f>'DOE25'!H496</f>
        <v>0</v>
      </c>
      <c r="E156" s="137">
        <f>'DOE25'!I496</f>
        <v>0</v>
      </c>
      <c r="F156" s="137">
        <f>'DOE25'!J496</f>
        <v>0</v>
      </c>
      <c r="G156" s="138">
        <f>SUM(B156:F156)</f>
        <v>1800000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355000</v>
      </c>
      <c r="C158" s="137">
        <f>'DOE25'!G498</f>
        <v>185000</v>
      </c>
      <c r="D158" s="137">
        <f>'DOE25'!H498</f>
        <v>0</v>
      </c>
      <c r="E158" s="137">
        <f>'DOE25'!I498</f>
        <v>0</v>
      </c>
      <c r="F158" s="137">
        <f>'DOE25'!J498</f>
        <v>0</v>
      </c>
      <c r="G158" s="138">
        <f t="shared" si="0"/>
        <v>540000</v>
      </c>
    </row>
    <row r="159" spans="1:9" x14ac:dyDescent="0.2">
      <c r="A159" s="22" t="s">
        <v>35</v>
      </c>
      <c r="B159" s="137">
        <f>'DOE25'!F499</f>
        <v>710000</v>
      </c>
      <c r="C159" s="137">
        <f>'DOE25'!G499</f>
        <v>550000</v>
      </c>
      <c r="D159" s="137">
        <f>'DOE25'!H499</f>
        <v>0</v>
      </c>
      <c r="E159" s="137">
        <f>'DOE25'!I499</f>
        <v>0</v>
      </c>
      <c r="F159" s="137">
        <f>'DOE25'!J499</f>
        <v>0</v>
      </c>
      <c r="G159" s="138">
        <f t="shared" si="0"/>
        <v>1260000</v>
      </c>
    </row>
    <row r="160" spans="1:9" x14ac:dyDescent="0.2">
      <c r="A160" s="22" t="s">
        <v>36</v>
      </c>
      <c r="B160" s="137">
        <f>'DOE25'!F500</f>
        <v>47215</v>
      </c>
      <c r="C160" s="137">
        <f>'DOE25'!G500</f>
        <v>41820</v>
      </c>
      <c r="D160" s="137">
        <f>'DOE25'!H500</f>
        <v>0</v>
      </c>
      <c r="E160" s="137">
        <f>'DOE25'!I500</f>
        <v>0</v>
      </c>
      <c r="F160" s="137">
        <f>'DOE25'!J500</f>
        <v>0</v>
      </c>
      <c r="G160" s="138">
        <f t="shared" si="0"/>
        <v>89035</v>
      </c>
    </row>
    <row r="161" spans="1:7" x14ac:dyDescent="0.2">
      <c r="A161" s="22" t="s">
        <v>37</v>
      </c>
      <c r="B161" s="137">
        <f>'DOE25'!F501</f>
        <v>757215</v>
      </c>
      <c r="C161" s="137">
        <f>'DOE25'!G501</f>
        <v>591820</v>
      </c>
      <c r="D161" s="137">
        <f>'DOE25'!H501</f>
        <v>0</v>
      </c>
      <c r="E161" s="137">
        <f>'DOE25'!I501</f>
        <v>0</v>
      </c>
      <c r="F161" s="137">
        <f>'DOE25'!J501</f>
        <v>0</v>
      </c>
      <c r="G161" s="138">
        <f t="shared" si="0"/>
        <v>1349035</v>
      </c>
    </row>
    <row r="162" spans="1:7" x14ac:dyDescent="0.2">
      <c r="A162" s="22" t="s">
        <v>38</v>
      </c>
      <c r="B162" s="137">
        <f>'DOE25'!F502</f>
        <v>355000</v>
      </c>
      <c r="C162" s="137">
        <f>'DOE25'!G502</f>
        <v>185000</v>
      </c>
      <c r="D162" s="137">
        <f>'DOE25'!H502</f>
        <v>0</v>
      </c>
      <c r="E162" s="137">
        <f>'DOE25'!I502</f>
        <v>0</v>
      </c>
      <c r="F162" s="137">
        <f>'DOE25'!J502</f>
        <v>0</v>
      </c>
      <c r="G162" s="138">
        <f t="shared" si="0"/>
        <v>540000</v>
      </c>
    </row>
    <row r="163" spans="1:7" x14ac:dyDescent="0.2">
      <c r="A163" s="22" t="s">
        <v>39</v>
      </c>
      <c r="B163" s="137">
        <f>'DOE25'!F503</f>
        <v>32660</v>
      </c>
      <c r="C163" s="137">
        <f>'DOE25'!G503</f>
        <v>23332.5</v>
      </c>
      <c r="D163" s="137">
        <f>'DOE25'!H503</f>
        <v>0</v>
      </c>
      <c r="E163" s="137">
        <f>'DOE25'!I503</f>
        <v>0</v>
      </c>
      <c r="F163" s="137">
        <f>'DOE25'!J503</f>
        <v>0</v>
      </c>
      <c r="G163" s="138">
        <f t="shared" si="0"/>
        <v>55992.5</v>
      </c>
    </row>
    <row r="164" spans="1:7" x14ac:dyDescent="0.2">
      <c r="A164" s="22" t="s">
        <v>246</v>
      </c>
      <c r="B164" s="137">
        <f>'DOE25'!F504</f>
        <v>387660</v>
      </c>
      <c r="C164" s="137">
        <f>'DOE25'!G504</f>
        <v>208332.5</v>
      </c>
      <c r="D164" s="137">
        <f>'DOE25'!H504</f>
        <v>0</v>
      </c>
      <c r="E164" s="137">
        <f>'DOE25'!I504</f>
        <v>0</v>
      </c>
      <c r="F164" s="137">
        <f>'DOE25'!J504</f>
        <v>0</v>
      </c>
      <c r="G164" s="138">
        <f t="shared" si="0"/>
        <v>595992.5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Contoocook Valley School District</v>
      </c>
    </row>
    <row r="3" spans="1:4" x14ac:dyDescent="0.2">
      <c r="B3" s="188" t="s">
        <v>1666</v>
      </c>
    </row>
    <row r="4" spans="1:4" x14ac:dyDescent="0.2">
      <c r="B4" t="s">
        <v>61</v>
      </c>
      <c r="C4" s="179">
        <f>IF('DOE25'!F666+'DOE25'!F671=0,0,ROUND('DOE25'!F673,0))</f>
        <v>25236</v>
      </c>
    </row>
    <row r="5" spans="1:4" x14ac:dyDescent="0.2">
      <c r="B5" t="s">
        <v>700</v>
      </c>
      <c r="C5" s="179">
        <f>IF('DOE25'!G666+'DOE25'!G671=0,0,ROUND('DOE25'!G673,0))</f>
        <v>20618</v>
      </c>
    </row>
    <row r="6" spans="1:4" x14ac:dyDescent="0.2">
      <c r="B6" t="s">
        <v>62</v>
      </c>
      <c r="C6" s="179">
        <f>IF('DOE25'!H666+'DOE25'!H671=0,0,ROUND('DOE25'!H673,0))</f>
        <v>20379</v>
      </c>
    </row>
    <row r="7" spans="1:4" x14ac:dyDescent="0.2">
      <c r="B7" t="s">
        <v>701</v>
      </c>
      <c r="C7" s="179">
        <f>IF('DOE25'!I666+'DOE25'!I671=0,0,ROUND('DOE25'!I673,0))</f>
        <v>22133</v>
      </c>
    </row>
    <row r="9" spans="1:4" x14ac:dyDescent="0.2">
      <c r="A9" s="187" t="s">
        <v>94</v>
      </c>
      <c r="B9" s="188" t="s">
        <v>1671</v>
      </c>
      <c r="C9" s="181" t="s">
        <v>720</v>
      </c>
      <c r="D9" s="181" t="s">
        <v>721</v>
      </c>
    </row>
    <row r="10" spans="1:4" x14ac:dyDescent="0.2">
      <c r="A10">
        <v>1100</v>
      </c>
      <c r="B10" t="s">
        <v>702</v>
      </c>
      <c r="C10" s="179">
        <f>ROUND('DOE25'!L198+'DOE25'!L216+'DOE25'!L234+'DOE25'!L277+'DOE25'!L296+'DOE25'!L315,0)</f>
        <v>17102734</v>
      </c>
      <c r="D10" s="182">
        <f>ROUND((C10/$C$28)*100,1)</f>
        <v>35.299999999999997</v>
      </c>
    </row>
    <row r="11" spans="1:4" x14ac:dyDescent="0.2">
      <c r="A11">
        <v>1200</v>
      </c>
      <c r="B11" t="s">
        <v>703</v>
      </c>
      <c r="C11" s="179">
        <f>ROUND('DOE25'!L199+'DOE25'!L217+'DOE25'!L235+'DOE25'!L278+'DOE25'!L297+'DOE25'!L316,0)</f>
        <v>11263801</v>
      </c>
      <c r="D11" s="182">
        <f>ROUND((C11/$C$28)*100,1)</f>
        <v>23.3</v>
      </c>
    </row>
    <row r="12" spans="1:4" x14ac:dyDescent="0.2">
      <c r="A12">
        <v>1300</v>
      </c>
      <c r="B12" t="s">
        <v>704</v>
      </c>
      <c r="C12" s="179">
        <f>ROUND('DOE25'!L200+'DOE25'!L218+'DOE25'!L236+'DOE25'!L279+'DOE25'!L298+'DOE25'!L317,0)</f>
        <v>1280371</v>
      </c>
      <c r="D12" s="182">
        <f>ROUND((C12/$C$28)*100,1)</f>
        <v>2.6</v>
      </c>
    </row>
    <row r="13" spans="1:4" x14ac:dyDescent="0.2">
      <c r="A13">
        <v>1400</v>
      </c>
      <c r="B13" t="s">
        <v>705</v>
      </c>
      <c r="C13" s="179">
        <f>ROUND('DOE25'!L201+'DOE25'!L219+'DOE25'!L237+'DOE25'!L280+'DOE25'!L299+'DOE25'!L318,0)</f>
        <v>560717</v>
      </c>
      <c r="D13" s="182">
        <f>ROUND((C13/$C$28)*100,1)</f>
        <v>1.2</v>
      </c>
    </row>
    <row r="14" spans="1:4" x14ac:dyDescent="0.2">
      <c r="D14" s="182"/>
    </row>
    <row r="15" spans="1:4" x14ac:dyDescent="0.2">
      <c r="A15">
        <v>2100</v>
      </c>
      <c r="B15" t="s">
        <v>706</v>
      </c>
      <c r="C15" s="179">
        <f>ROUND('DOE25'!L203+'DOE25'!L221+'DOE25'!L239+'DOE25'!L282+'DOE25'!L301+'DOE25'!L320,0)</f>
        <v>2885441</v>
      </c>
      <c r="D15" s="182">
        <f t="shared" ref="D15:D27" si="0">ROUND((C15/$C$28)*100,1)</f>
        <v>6</v>
      </c>
    </row>
    <row r="16" spans="1:4" x14ac:dyDescent="0.2">
      <c r="A16">
        <v>2200</v>
      </c>
      <c r="B16" t="s">
        <v>707</v>
      </c>
      <c r="C16" s="179">
        <f>ROUND('DOE25'!L204+'DOE25'!L222+'DOE25'!L240+'DOE25'!L283+'DOE25'!L302+'DOE25'!L321,0)</f>
        <v>1238881</v>
      </c>
      <c r="D16" s="182">
        <f t="shared" si="0"/>
        <v>2.6</v>
      </c>
    </row>
    <row r="17" spans="1:4" x14ac:dyDescent="0.2">
      <c r="A17" s="183" t="s">
        <v>723</v>
      </c>
      <c r="B17" t="s">
        <v>738</v>
      </c>
      <c r="C17" s="179">
        <f>ROUND('DOE25'!L205+'DOE25'!L210+'DOE25'!L223+'DOE25'!L228+'DOE25'!L241+'DOE25'!L246+'DOE25'!L284+'DOE25'!L289+'DOE25'!L303+'DOE25'!L308+'DOE25'!L322+'DOE25'!L327,0)</f>
        <v>3032395</v>
      </c>
      <c r="D17" s="182">
        <f t="shared" si="0"/>
        <v>6.3</v>
      </c>
    </row>
    <row r="18" spans="1:4" x14ac:dyDescent="0.2">
      <c r="A18">
        <v>2400</v>
      </c>
      <c r="B18" t="s">
        <v>711</v>
      </c>
      <c r="C18" s="179">
        <f>ROUND('DOE25'!L206+'DOE25'!L224+'DOE25'!L242+'DOE25'!L285+'DOE25'!L304+'DOE25'!L323,0)</f>
        <v>3881675</v>
      </c>
      <c r="D18" s="182">
        <f t="shared" si="0"/>
        <v>8</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4013422</v>
      </c>
      <c r="D20" s="182">
        <f t="shared" si="0"/>
        <v>8.3000000000000007</v>
      </c>
    </row>
    <row r="21" spans="1:4" x14ac:dyDescent="0.2">
      <c r="A21">
        <v>2700</v>
      </c>
      <c r="B21" t="s">
        <v>710</v>
      </c>
      <c r="C21" s="179">
        <f>ROUND('DOE25'!L209+'DOE25'!L227+'DOE25'!L245+'DOE25'!L288+'DOE25'!L307+'DOE25'!L326,0)</f>
        <v>2246274</v>
      </c>
      <c r="D21" s="182">
        <f t="shared" si="0"/>
        <v>4.5999999999999996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83533</v>
      </c>
      <c r="D25" s="182">
        <f t="shared" si="0"/>
        <v>0.2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793388.08</v>
      </c>
      <c r="D27" s="182">
        <f t="shared" si="0"/>
        <v>1.6</v>
      </c>
    </row>
    <row r="28" spans="1:4" x14ac:dyDescent="0.2">
      <c r="B28" s="187" t="s">
        <v>719</v>
      </c>
      <c r="C28" s="180">
        <f>SUM(C10:C27)</f>
        <v>48382632.079999998</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48382632.079999998</v>
      </c>
    </row>
    <row r="31" spans="1:4" x14ac:dyDescent="0.2">
      <c r="B31" s="33"/>
      <c r="C31" s="180"/>
    </row>
    <row r="32" spans="1:4" x14ac:dyDescent="0.2">
      <c r="A32">
        <v>5100</v>
      </c>
      <c r="B32" s="33" t="s">
        <v>726</v>
      </c>
      <c r="C32" s="180">
        <f>ROUND('DOE25'!L261+'DOE25'!L342,0)</f>
        <v>540000</v>
      </c>
    </row>
    <row r="34" spans="1:4" x14ac:dyDescent="0.2">
      <c r="A34" s="187" t="s">
        <v>94</v>
      </c>
      <c r="B34" s="188" t="s">
        <v>1667</v>
      </c>
      <c r="C34" s="181" t="s">
        <v>720</v>
      </c>
      <c r="D34" s="181" t="s">
        <v>721</v>
      </c>
    </row>
    <row r="35" spans="1:4" x14ac:dyDescent="0.2">
      <c r="A35">
        <v>1100</v>
      </c>
      <c r="B35" s="185" t="s">
        <v>727</v>
      </c>
      <c r="C35" s="179">
        <f>ROUND('DOE25'!F60+'DOE25'!G60+'DOE25'!H60+'DOE25'!I60+'DOE25'!J60,0)</f>
        <v>35327666</v>
      </c>
      <c r="D35" s="182">
        <f t="shared" ref="D35:D40" si="1">ROUND((C35/$C$41)*100,1)</f>
        <v>66.900000000000006</v>
      </c>
    </row>
    <row r="36" spans="1:4" x14ac:dyDescent="0.2">
      <c r="B36" s="185" t="s">
        <v>739</v>
      </c>
      <c r="C36" s="179">
        <f>SUM('DOE25'!F112:J112)-SUM('DOE25'!G97:G110)+('DOE25'!F175+'DOE25'!F176+'DOE25'!I175+'DOE25'!I176)-C35</f>
        <v>455682.78000000119</v>
      </c>
      <c r="D36" s="182">
        <f t="shared" si="1"/>
        <v>0.9</v>
      </c>
    </row>
    <row r="37" spans="1:4" x14ac:dyDescent="0.2">
      <c r="A37" s="183" t="s">
        <v>835</v>
      </c>
      <c r="B37" s="185" t="s">
        <v>728</v>
      </c>
      <c r="C37" s="179">
        <f>ROUND('DOE25'!F117+'DOE25'!F118,0)</f>
        <v>12768780</v>
      </c>
      <c r="D37" s="182">
        <f t="shared" si="1"/>
        <v>24.2</v>
      </c>
    </row>
    <row r="38" spans="1:4" x14ac:dyDescent="0.2">
      <c r="A38" s="183" t="s">
        <v>734</v>
      </c>
      <c r="B38" s="185" t="s">
        <v>729</v>
      </c>
      <c r="C38" s="179">
        <f>ROUND(SUM('DOE25'!F140:J140)-SUM('DOE25'!F117:F119),0)</f>
        <v>201364</v>
      </c>
      <c r="D38" s="182">
        <f t="shared" si="1"/>
        <v>0.4</v>
      </c>
    </row>
    <row r="39" spans="1:4" x14ac:dyDescent="0.2">
      <c r="A39">
        <v>4000</v>
      </c>
      <c r="B39" s="185" t="s">
        <v>730</v>
      </c>
      <c r="C39" s="179">
        <f>ROUND('DOE25'!F170+'DOE25'!G170+'DOE25'!H170+'DOE25'!I170,0)</f>
        <v>4015103</v>
      </c>
      <c r="D39" s="182">
        <f t="shared" si="1"/>
        <v>7.6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52768595.780000001</v>
      </c>
      <c r="D41" s="184">
        <f>SUM(D35:D40)</f>
        <v>100.00000000000001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Contoocook Valley School District</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2021-11-01T23:09:06Z</cp:lastPrinted>
  <dcterms:created xsi:type="dcterms:W3CDTF">1997-12-04T19:04:30Z</dcterms:created>
  <dcterms:modified xsi:type="dcterms:W3CDTF">2021-12-14T17:39:28Z</dcterms:modified>
</cp:coreProperties>
</file>