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'DOE25'!$A$576:$I$588</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92" i="1" l="1"/>
  <c r="I492"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C85" i="2" s="1"/>
  <c r="G147" i="1"/>
  <c r="D85" i="2" s="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E125"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3" i="1"/>
  <c r="H653" i="1"/>
  <c r="G654" i="1"/>
  <c r="H654" i="1"/>
  <c r="G655" i="1"/>
  <c r="H655" i="1"/>
  <c r="H656" i="1"/>
  <c r="J656" i="1" s="1"/>
  <c r="G62" i="2"/>
  <c r="I170" i="1" l="1"/>
  <c r="F170" i="1"/>
  <c r="F409" i="1"/>
  <c r="H644" i="1" s="1"/>
  <c r="J140" i="1"/>
  <c r="H140" i="1"/>
  <c r="G663" i="1"/>
  <c r="G477" i="1"/>
  <c r="H624" i="1" s="1"/>
  <c r="J624" i="1" s="1"/>
  <c r="E112" i="2"/>
  <c r="C32" i="10"/>
  <c r="C125" i="2"/>
  <c r="E121" i="2"/>
  <c r="J652" i="1"/>
  <c r="I409" i="1"/>
  <c r="H409" i="1"/>
  <c r="H645" i="1" s="1"/>
  <c r="J645" i="1" s="1"/>
  <c r="D15" i="13"/>
  <c r="C15" i="13" s="1"/>
  <c r="J572" i="1"/>
  <c r="G409" i="1"/>
  <c r="H646" i="1" s="1"/>
  <c r="H663" i="1"/>
  <c r="C121" i="2"/>
  <c r="C120" i="2"/>
  <c r="C119" i="2"/>
  <c r="C13" i="10"/>
  <c r="A40" i="12"/>
  <c r="C12" i="10"/>
  <c r="J258" i="1"/>
  <c r="J272" i="1" s="1"/>
  <c r="E123" i="2"/>
  <c r="D18" i="13"/>
  <c r="C18" i="13" s="1"/>
  <c r="G553" i="1"/>
  <c r="E119" i="2"/>
  <c r="D6" i="13"/>
  <c r="C6" i="13" s="1"/>
  <c r="E13" i="13"/>
  <c r="C13" i="13" s="1"/>
  <c r="K339" i="1"/>
  <c r="K353" i="1" s="1"/>
  <c r="G662" i="1"/>
  <c r="G646" i="1"/>
  <c r="C112" i="2"/>
  <c r="D50" i="2"/>
  <c r="E110" i="2"/>
  <c r="G339" i="1"/>
  <c r="G353" i="1" s="1"/>
  <c r="H477" i="1"/>
  <c r="H625" i="1" s="1"/>
  <c r="J62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B33" i="16"/>
  <c r="C141" i="2"/>
  <c r="J646" i="1"/>
  <c r="G24" i="14"/>
  <c r="H24" i="14" s="1"/>
  <c r="I24" i="14" s="1"/>
  <c r="F661" i="1"/>
  <c r="F665" i="1" s="1"/>
  <c r="F668" i="1" s="1"/>
  <c r="E128" i="2"/>
  <c r="H649" i="1"/>
  <c r="J649" i="1" s="1"/>
  <c r="H661" i="1"/>
  <c r="H665" i="1" s="1"/>
  <c r="H668" i="1" s="1"/>
  <c r="C81" i="2"/>
  <c r="D51" i="2"/>
  <c r="E51" i="2"/>
  <c r="E115" i="2"/>
  <c r="H194" i="1"/>
  <c r="G630" i="1" s="1"/>
  <c r="J630" i="1" s="1"/>
  <c r="F194" i="1"/>
  <c r="G628" i="1" s="1"/>
  <c r="J628" i="1" s="1"/>
  <c r="F51" i="2"/>
  <c r="H36" i="14"/>
  <c r="I36" i="14" s="1"/>
  <c r="G36" i="14"/>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<sst xmlns="http://schemas.openxmlformats.org/spreadsheetml/2006/main" count="5583" uniqueCount="1677">
  <si>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</si>
  <si>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</si>
  <si>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</si>
  <si>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</si>
  <si>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</si>
  <si>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</si>
  <si>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</si>
  <si>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</si>
  <si>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</si>
  <si>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</si>
  <si>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</si>
  <si>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</si>
  <si>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</si>
  <si>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</si>
  <si>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</si>
  <si>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</si>
  <si>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</si>
  <si>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</si>
  <si>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</si>
  <si>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</si>
  <si>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</si>
  <si>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</si>
  <si>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</si>
  <si>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</si>
  <si>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</si>
  <si>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</si>
  <si>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</si>
  <si>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</si>
  <si>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</si>
  <si>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</si>
  <si>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</si>
  <si>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</si>
  <si>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</si>
  <si>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</si>
  <si>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</si>
  <si>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</si>
  <si>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</si>
  <si>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</si>
  <si>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</si>
  <si>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</si>
  <si>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</si>
  <si>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</si>
  <si>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</si>
  <si>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</si>
  <si>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</si>
  <si>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</si>
  <si>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</si>
  <si>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</si>
  <si>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</si>
  <si>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</si>
  <si>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</si>
  <si>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</si>
  <si>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</si>
  <si>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</si>
  <si>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</si>
  <si>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</si>
  <si>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</si>
  <si>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</si>
  <si>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</si>
  <si>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</si>
  <si>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</si>
  <si>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</si>
  <si>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</si>
  <si>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</si>
  <si>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</si>
  <si>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</si>
  <si>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</si>
  <si>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</si>
  <si>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</si>
  <si>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</si>
  <si>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</si>
  <si>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</si>
  <si>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</si>
  <si>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</si>
  <si>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</si>
  <si>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</si>
  <si>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</si>
  <si>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</si>
  <si>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</si>
  <si>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</si>
  <si>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</si>
  <si>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</si>
  <si>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</si>
  <si>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</si>
  <si>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</si>
  <si>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</si>
  <si>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</si>
  <si>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</si>
  <si>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</si>
  <si>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</si>
  <si>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</si>
  <si>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</si>
  <si>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</si>
  <si>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</si>
  <si>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</si>
  <si>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</si>
  <si>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</si>
  <si>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</si>
  <si>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</si>
  <si>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</si>
  <si>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</si>
  <si>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</si>
  <si>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</si>
  <si>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</si>
  <si>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</si>
  <si>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</si>
  <si>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</si>
  <si>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</si>
  <si>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</si>
  <si>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</si>
  <si>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</si>
  <si>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</si>
  <si>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</si>
  <si>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</si>
  <si>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</si>
  <si>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</si>
  <si>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</si>
  <si>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</si>
  <si>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</si>
  <si>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</si>
  <si>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</si>
  <si>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</si>
  <si>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</si>
  <si>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</si>
  <si>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</si>
  <si>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</si>
  <si>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</si>
  <si>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</si>
  <si>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</si>
  <si>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</si>
  <si>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</si>
  <si>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</si>
  <si>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</si>
  <si>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</si>
  <si>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</si>
  <si>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</si>
  <si>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</si>
  <si>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</si>
  <si>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</si>
  <si>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</si>
  <si>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</si>
  <si>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</si>
  <si>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</si>
  <si>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</si>
  <si>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</si>
  <si>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</si>
  <si>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</si>
  <si>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</si>
  <si>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</si>
  <si>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</si>
  <si>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</si>
  <si>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</si>
  <si>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</si>
  <si>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</si>
  <si>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</si>
  <si>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</si>
  <si>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</si>
  <si>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</si>
  <si>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</si>
  <si>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</si>
  <si>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</si>
  <si>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</si>
  <si>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</si>
  <si>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</si>
  <si>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</si>
  <si>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</si>
  <si>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</si>
  <si>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</si>
  <si>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</si>
  <si>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</si>
  <si>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</si>
  <si>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</si>
  <si>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</si>
  <si>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</si>
  <si>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</si>
  <si>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</si>
  <si>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</si>
  <si>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</si>
  <si>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</si>
  <si>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</si>
  <si>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</si>
  <si>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</si>
  <si>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</si>
  <si>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</si>
  <si>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</si>
  <si>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</si>
  <si>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</si>
  <si>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</si>
  <si>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</si>
  <si>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</si>
  <si>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</si>
  <si>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</si>
  <si>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</si>
  <si>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</si>
  <si>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</si>
  <si>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</si>
  <si>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</si>
  <si>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</si>
  <si>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</si>
  <si>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</si>
  <si>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</si>
  <si>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</si>
  <si>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</si>
  <si>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</si>
  <si>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</si>
  <si>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</si>
  <si>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</si>
  <si>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</si>
  <si>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</si>
  <si>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</si>
  <si>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</si>
  <si>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</si>
  <si>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</si>
  <si>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</si>
  <si>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</si>
  <si>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</si>
  <si>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</si>
  <si>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</si>
  <si>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</si>
  <si>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</si>
  <si>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</si>
  <si>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</si>
  <si>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</si>
  <si>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</si>
  <si>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</si>
  <si>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</si>
  <si>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</si>
  <si>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</si>
  <si>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</si>
  <si>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</si>
  <si>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</si>
  <si>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</si>
  <si>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</si>
  <si>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</si>
  <si>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</si>
  <si>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</si>
  <si>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</si>
  <si>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</si>
  <si>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</si>
  <si>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</si>
  <si>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</si>
  <si>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</si>
  <si>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</si>
  <si>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</si>
  <si>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</si>
  <si>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</si>
  <si>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</si>
  <si>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</si>
  <si>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</si>
  <si>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</si>
  <si>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</si>
  <si>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</si>
  <si>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</si>
  <si>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</si>
  <si>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</si>
  <si>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</si>
  <si>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</si>
  <si>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</si>
  <si>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</si>
  <si>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</si>
  <si>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</si>
  <si>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</si>
  <si>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</si>
  <si>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</si>
  <si>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</si>
  <si>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</si>
  <si>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</si>
  <si>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</si>
  <si>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</si>
  <si>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</si>
  <si>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</si>
  <si>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</si>
  <si>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</si>
  <si>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</si>
  <si>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</si>
  <si>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</si>
  <si>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</si>
  <si>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</si>
  <si>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</si>
  <si>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</si>
  <si>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</si>
  <si>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</si>
  <si>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</si>
  <si>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</si>
  <si>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</si>
  <si>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</si>
  <si>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</si>
  <si>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</si>
  <si>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</si>
  <si>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</si>
  <si>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</si>
  <si>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</si>
  <si>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</si>
  <si>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</si>
  <si>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</si>
  <si>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</si>
  <si>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</si>
  <si>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</si>
  <si>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</si>
  <si>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</si>
  <si>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</si>
  <si>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</si>
  <si>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</si>
  <si>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</si>
  <si>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</si>
  <si>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</si>
  <si>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</si>
  <si>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</si>
  <si>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</si>
  <si>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</si>
  <si>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</si>
  <si>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</si>
  <si>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</si>
  <si>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</si>
  <si>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</si>
  <si>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</si>
  <si>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</si>
  <si>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</si>
  <si>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</si>
  <si>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</si>
  <si>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</si>
  <si>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</si>
  <si>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</si>
  <si>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</si>
  <si>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</si>
  <si>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</si>
  <si>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</si>
  <si>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</si>
  <si>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</si>
  <si>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</si>
  <si>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</si>
  <si>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</si>
  <si>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</si>
  <si>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</si>
  <si>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</si>
  <si>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</si>
  <si>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</si>
  <si>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</si>
  <si>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</si>
  <si>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</si>
  <si>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</si>
  <si>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</si>
  <si>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</si>
  <si>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</si>
  <si>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</si>
  <si>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</si>
  <si>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</si>
  <si>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</si>
  <si>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</si>
  <si>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</si>
  <si>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</si>
  <si>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</si>
  <si>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</si>
  <si>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</si>
  <si>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</si>
  <si>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</si>
  <si>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</si>
  <si>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</si>
  <si>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</si>
  <si>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</si>
  <si>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</si>
  <si>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</si>
  <si>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</si>
  <si>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</si>
  <si>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</si>
  <si>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</si>
  <si>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</si>
  <si>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</si>
  <si>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</si>
  <si>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</si>
  <si>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</si>
  <si>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</si>
  <si>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</si>
  <si>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</si>
  <si>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</si>
  <si>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</si>
  <si>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</si>
  <si>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</si>
  <si>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</si>
  <si>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</si>
  <si>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</si>
  <si>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</si>
  <si>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</si>
  <si>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</si>
  <si>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</si>
  <si>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</si>
  <si>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</si>
  <si>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</si>
  <si>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</si>
  <si>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</si>
  <si>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</si>
  <si>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</si>
  <si>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</si>
  <si>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</si>
  <si>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</si>
  <si>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</si>
  <si>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</si>
  <si>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</si>
  <si>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</si>
  <si>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</si>
  <si>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</si>
  <si>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</si>
  <si>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</si>
  <si>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</si>
  <si>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</si>
  <si>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</si>
  <si>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</si>
  <si>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</si>
  <si>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</si>
  <si>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</si>
  <si>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</si>
  <si>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</si>
  <si>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</si>
  <si>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</si>
  <si>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</si>
  <si>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</si>
  <si>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</si>
  <si>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</si>
  <si>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</si>
  <si>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</si>
  <si>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</si>
  <si>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</si>
  <si>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</si>
  <si>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</si>
  <si>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</si>
  <si>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</si>
  <si>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</si>
  <si>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</si>
  <si>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</si>
  <si>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</si>
  <si>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</si>
  <si>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</si>
  <si>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</si>
  <si>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</si>
  <si>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</si>
  <si>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</si>
  <si>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</si>
  <si>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</si>
  <si>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</si>
  <si>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</si>
  <si>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</si>
  <si>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</si>
  <si>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</si>
  <si>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</si>
  <si>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</si>
  <si>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</si>
  <si>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</si>
  <si>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</si>
  <si>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</si>
  <si>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</si>
  <si>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</si>
  <si>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</si>
  <si>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</si>
  <si>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</si>
  <si>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</si>
  <si>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</si>
  <si>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</si>
  <si>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</si>
  <si>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</si>
  <si>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</si>
  <si>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</si>
  <si>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</si>
  <si>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</si>
  <si>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</si>
  <si>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</si>
  <si>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</si>
  <si>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</si>
  <si>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</si>
  <si>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</si>
  <si>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</si>
  <si>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</si>
  <si>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</si>
  <si>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</si>
  <si>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</si>
  <si>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</si>
  <si>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</si>
  <si>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</si>
  <si>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</si>
  <si>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</si>
  <si>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</si>
  <si>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</si>
  <si>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</si>
  <si>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</si>
  <si>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</si>
  <si>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</si>
  <si>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</si>
  <si>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</si>
  <si>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</si>
  <si>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</si>
  <si>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</si>
  <si>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</si>
  <si>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</si>
  <si>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</si>
  <si>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</si>
  <si>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</si>
  <si>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</si>
  <si>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</si>
  <si>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</si>
  <si>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</si>
  <si>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</si>
  <si>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</si>
  <si>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</si>
  <si>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</si>
  <si>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</si>
  <si>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</si>
  <si>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</si>
  <si>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</si>
  <si>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</si>
  <si>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</si>
  <si>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</si>
  <si>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</si>
  <si>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</si>
  <si>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</si>
  <si>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</si>
  <si>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</si>
  <si>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</si>
  <si>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</si>
  <si>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</si>
  <si>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</si>
  <si>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</si>
  <si>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</si>
  <si>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</si>
  <si>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</si>
  <si>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</si>
  <si>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</si>
  <si>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</si>
  <si>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</si>
  <si>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</si>
  <si>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</si>
  <si>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</si>
  <si>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</si>
  <si>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</si>
  <si>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</si>
  <si>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</si>
  <si>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</si>
  <si>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</si>
  <si>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</si>
  <si>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</si>
  <si>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</si>
  <si>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</si>
  <si>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</si>
  <si>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</si>
  <si>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</si>
  <si>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</si>
  <si>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</si>
  <si>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</si>
  <si>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</si>
  <si>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</si>
  <si>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</si>
  <si>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</si>
  <si>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</si>
  <si>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</si>
  <si>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</si>
  <si>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</si>
  <si>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</si>
  <si>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</si>
  <si>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</si>
  <si>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</si>
  <si>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</si>
  <si>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</si>
  <si>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</si>
  <si>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</si>
  <si>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</si>
  <si>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</si>
  <si>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</si>
  <si>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</si>
  <si>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</si>
  <si>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</si>
  <si>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</si>
  <si>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</si>
  <si>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</si>
  <si>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</si>
  <si>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</si>
  <si>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</si>
  <si>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</si>
  <si>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</si>
  <si>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</si>
  <si>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</si>
  <si>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</si>
  <si>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</si>
  <si>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</si>
  <si>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</si>
  <si>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</si>
  <si>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</si>
  <si>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</si>
  <si>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</si>
  <si>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</si>
  <si>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</si>
  <si>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</si>
  <si>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</si>
  <si>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</si>
  <si>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</si>
  <si>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</si>
  <si>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</si>
  <si>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</si>
  <si>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</si>
  <si>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</si>
  <si>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</si>
  <si>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</si>
  <si>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</si>
  <si>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</si>
  <si>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</si>
  <si>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</si>
  <si>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</si>
  <si>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</si>
  <si>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</si>
  <si>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</si>
  <si>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</si>
  <si>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</si>
  <si>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</si>
  <si>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</si>
  <si>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</si>
  <si>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</si>
  <si>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</si>
  <si>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</si>
  <si>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</si>
  <si>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</si>
  <si>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</si>
  <si>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</si>
  <si>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</si>
  <si>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</si>
  <si>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</si>
  <si>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</si>
  <si>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</si>
  <si>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</si>
  <si>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</si>
  <si>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</si>
  <si>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</si>
  <si>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</si>
  <si>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</si>
  <si>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</si>
  <si>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</si>
  <si>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</si>
  <si>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</si>
  <si>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</si>
  <si>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</si>
  <si>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</si>
  <si>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</si>
  <si>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</si>
  <si>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</si>
  <si>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</si>
  <si>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</si>
  <si>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</si>
  <si>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</si>
  <si>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</si>
  <si>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</si>
  <si>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</si>
  <si>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</si>
  <si>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</si>
  <si>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</si>
  <si>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</si>
  <si>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</si>
  <si>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</si>
  <si>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</si>
  <si>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</si>
  <si>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</si>
  <si>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</si>
  <si>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</si>
  <si>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</si>
  <si>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</si>
  <si>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</si>
  <si>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</si>
  <si>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</si>
  <si>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</si>
  <si>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</si>
  <si>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</si>
  <si>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</si>
  <si>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</si>
  <si>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</si>
  <si>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</si>
  <si>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</si>
  <si>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</si>
  <si>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</si>
  <si>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</si>
  <si>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</si>
  <si>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</si>
  <si>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</si>
  <si>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</si>
  <si>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</si>
  <si>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</si>
  <si>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</si>
  <si>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</si>
  <si>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</si>
  <si>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</si>
  <si>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</si>
  <si>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</si>
  <si>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</si>
  <si>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</si>
  <si>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</si>
  <si>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</si>
  <si>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</si>
  <si>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</si>
  <si>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</si>
  <si>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</si>
  <si>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</si>
  <si>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</si>
  <si>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</si>
  <si>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</si>
  <si>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</si>
  <si>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</si>
  <si>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</si>
  <si>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</si>
  <si>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</si>
  <si>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</si>
  <si>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</si>
  <si>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</si>
  <si>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</si>
  <si>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</si>
  <si>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</si>
  <si>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</si>
  <si>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</si>
  <si>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</si>
  <si>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</si>
  <si>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</si>
  <si>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</si>
  <si>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</si>
  <si>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</si>
  <si>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</si>
  <si>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</si>
  <si>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</si>
  <si>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</si>
  <si>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</si>
  <si>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</si>
  <si>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</si>
  <si>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</si>
  <si>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</si>
  <si>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</si>
  <si>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</si>
  <si>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</si>
  <si>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</si>
  <si>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</si>
  <si>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</si>
  <si>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</si>
  <si>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</si>
  <si>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</si>
  <si>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</si>
  <si>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</si>
  <si>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</si>
  <si>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</si>
  <si>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</si>
  <si>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</si>
  <si>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</si>
  <si>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</si>
  <si>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</si>
  <si>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</si>
  <si>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</si>
  <si>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</si>
  <si>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</si>
  <si>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</si>
  <si>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</si>
  <si>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</si>
  <si>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</si>
  <si>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</si>
  <si>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</si>
  <si>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</si>
  <si>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</si>
  <si>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</si>
  <si>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</si>
  <si>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</si>
  <si>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</si>
  <si>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</si>
  <si>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</si>
  <si>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</si>
  <si>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</si>
  <si>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</si>
  <si>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</si>
  <si>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</si>
  <si>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</si>
  <si>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</si>
  <si>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</si>
  <si>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</si>
  <si>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</si>
  <si>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</si>
  <si>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</si>
  <si>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</si>
  <si>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</si>
  <si>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</si>
  <si>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</si>
  <si>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</si>
  <si>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</si>
  <si>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</si>
  <si>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</si>
  <si>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</si>
  <si>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</si>
  <si>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</si>
  <si>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</si>
  <si>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</si>
  <si>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</si>
  <si>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</si>
  <si>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</si>
  <si>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</si>
  <si>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</si>
  <si>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</si>
  <si>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</si>
  <si>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</si>
  <si>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</si>
  <si>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</si>
  <si>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</si>
  <si>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</si>
  <si>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</si>
  <si>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</si>
  <si>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</si>
  <si>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</si>
  <si>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</si>
  <si>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</si>
  <si>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</si>
  <si>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</si>
  <si>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</si>
  <si>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</si>
  <si>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</si>
  <si>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</si>
  <si>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</si>
  <si>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</si>
  <si>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</si>
  <si>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</si>
  <si>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</si>
  <si>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</si>
  <si>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</si>
  <si>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</si>
  <si>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</si>
  <si>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</si>
  <si>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</si>
  <si>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</si>
  <si>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</si>
  <si>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</si>
  <si>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</si>
  <si>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</si>
  <si>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</si>
  <si>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</si>
  <si>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</si>
  <si>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</si>
  <si>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</si>
  <si>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</si>
  <si>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</si>
  <si>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</si>
  <si>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</si>
  <si>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</si>
  <si>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</si>
  <si>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</si>
  <si>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</si>
  <si>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</si>
  <si>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</si>
  <si>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</si>
  <si>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</si>
  <si>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</si>
  <si>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</si>
  <si>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</si>
  <si>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</si>
  <si>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</si>
  <si>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</si>
  <si>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</si>
  <si>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</si>
  <si>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</si>
  <si>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</si>
  <si>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</si>
  <si>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</si>
  <si>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</si>
  <si>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</si>
  <si>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</si>
  <si>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</si>
  <si>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</si>
  <si>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</si>
  <si>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</si>
  <si>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</si>
  <si>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</si>
  <si>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</si>
  <si>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</si>
  <si>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</si>
  <si>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</si>
  <si>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</si>
  <si>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</si>
  <si>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</si>
  <si>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</si>
  <si>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</si>
  <si>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</si>
  <si>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</si>
  <si>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</si>
  <si>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</si>
  <si>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</si>
  <si>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</si>
  <si>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</si>
  <si>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</si>
  <si>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</si>
  <si>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</si>
  <si>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</si>
  <si>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</si>
  <si>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</si>
  <si>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</si>
  <si>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</si>
  <si>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</si>
  <si>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</si>
  <si>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</si>
  <si>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</si>
  <si>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</si>
  <si>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</si>
  <si>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</si>
  <si>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</si>
  <si>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</si>
  <si>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</si>
  <si>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</si>
  <si>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</si>
  <si>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</si>
  <si>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</si>
  <si>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</si>
  <si>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</si>
  <si>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</si>
  <si>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</si>
  <si>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</si>
  <si>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</si>
  <si>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</si>
  <si>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</si>
  <si>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</si>
  <si>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</si>
  <si>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</si>
  <si>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</si>
  <si>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</si>
  <si>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</si>
  <si>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</si>
  <si>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</si>
  <si>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</si>
  <si>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</si>
  <si>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</si>
  <si>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</si>
  <si>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</si>
  <si>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</si>
  <si>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</si>
  <si>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</si>
  <si>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</si>
  <si>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</si>
  <si>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</si>
  <si>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</si>
  <si>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</si>
  <si>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</si>
  <si>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</si>
  <si>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</si>
  <si>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</si>
  <si>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</si>
  <si>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</si>
  <si>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</si>
  <si>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</si>
  <si>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</si>
  <si>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</si>
  <si>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</si>
  <si>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</si>
  <si>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</si>
  <si>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</si>
  <si>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</si>
  <si>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</si>
  <si>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</si>
  <si>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</si>
  <si>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</si>
  <si>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</si>
  <si>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</si>
  <si>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</si>
  <si>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</si>
  <si>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</si>
  <si>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</si>
  <si>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</si>
  <si>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</si>
  <si>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</si>
  <si>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</si>
  <si>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</si>
  <si>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</si>
  <si>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</si>
  <si>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</si>
  <si>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</si>
  <si>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</si>
  <si>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</si>
  <si>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</si>
  <si>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</si>
  <si>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</si>
  <si>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</si>
  <si>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</si>
  <si>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</si>
  <si>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</si>
  <si>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</si>
  <si>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</si>
  <si>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</si>
  <si>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</si>
  <si>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</si>
  <si>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</si>
  <si>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</si>
  <si>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</si>
  <si>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</si>
  <si>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</si>
  <si>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</si>
  <si>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</si>
  <si>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</si>
  <si>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</si>
  <si>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</si>
  <si>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</si>
  <si>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</si>
  <si>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</si>
  <si>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</si>
  <si>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</si>
  <si>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</si>
  <si>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</si>
  <si>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</si>
  <si>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</si>
  <si>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</si>
  <si>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</si>
  <si>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</si>
  <si>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</si>
  <si>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</si>
  <si>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</si>
  <si>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</si>
  <si>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</si>
  <si>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</si>
  <si>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</si>
  <si>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</si>
  <si>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</si>
  <si>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</si>
  <si>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</si>
  <si>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</si>
  <si>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</si>
  <si>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</si>
  <si>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</si>
  <si>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</si>
  <si>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</si>
  <si>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</si>
  <si>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</si>
  <si>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</si>
  <si>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</si>
  <si>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</si>
  <si>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</si>
  <si>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</si>
  <si>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</si>
  <si>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</si>
  <si>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</si>
  <si>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</si>
  <si>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</si>
  <si>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</si>
  <si>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</si>
  <si>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</si>
  <si>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</si>
  <si>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</si>
  <si>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</si>
  <si>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</si>
  <si>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</si>
  <si>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</si>
  <si>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</si>
  <si>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</si>
  <si>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</si>
  <si>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</si>
  <si>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</si>
  <si>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</si>
  <si>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</si>
  <si>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</si>
  <si>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</si>
  <si>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</si>
  <si>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</si>
  <si>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</si>
  <si>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</si>
  <si>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</si>
  <si>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</si>
  <si>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</si>
  <si>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</si>
  <si>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</si>
  <si>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</si>
  <si>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</si>
  <si>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</si>
  <si>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</si>
  <si>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</si>
  <si>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</si>
  <si>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</si>
  <si>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</si>
  <si>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</si>
  <si>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</si>
  <si>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</si>
  <si>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</si>
  <si>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</si>
  <si>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</si>
  <si>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</si>
  <si>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</si>
  <si>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</si>
  <si>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</si>
  <si>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</si>
  <si>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</si>
  <si>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</si>
  <si>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</si>
  <si>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</si>
  <si>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</si>
  <si>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</si>
  <si>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</si>
  <si>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</si>
  <si>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</si>
  <si>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</si>
  <si>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</si>
  <si>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</si>
  <si>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</si>
  <si>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</si>
  <si>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</si>
  <si>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</si>
  <si>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</si>
  <si>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</si>
  <si>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</si>
  <si>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</si>
  <si>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</si>
  <si>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</si>
  <si>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</si>
  <si>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</si>
  <si>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</si>
  <si>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</si>
  <si>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</si>
  <si>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</si>
  <si>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</si>
  <si>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</si>
  <si>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</si>
  <si>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</si>
  <si>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</si>
  <si>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</si>
  <si>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</si>
  <si>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</si>
  <si>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</si>
  <si>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</si>
  <si>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</si>
  <si>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</si>
  <si>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</si>
  <si>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</si>
  <si>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</si>
  <si>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</si>
  <si>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</si>
  <si>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</si>
  <si>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</si>
  <si>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</si>
  <si>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</si>
  <si>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</si>
  <si>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</si>
  <si>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</si>
  <si>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</si>
  <si>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</si>
  <si>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</si>
  <si>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</si>
  <si>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</si>
  <si>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</si>
  <si>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</si>
  <si>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</si>
  <si>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</si>
  <si>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</si>
  <si>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</si>
  <si>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</si>
  <si>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</si>
  <si>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</si>
  <si>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</si>
  <si>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</si>
  <si>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</si>
  <si>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</si>
  <si>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</si>
  <si>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</si>
  <si>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</si>
  <si>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</si>
  <si>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</si>
  <si>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</si>
  <si>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</si>
  <si>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</si>
  <si>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</si>
  <si>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</si>
  <si>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</si>
  <si>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</si>
  <si>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</si>
  <si>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</si>
  <si>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</si>
  <si>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</si>
  <si>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</si>
  <si>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</si>
  <si>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</si>
  <si>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</si>
  <si>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</si>
  <si>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</si>
  <si>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</si>
  <si>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</si>
  <si>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</si>
  <si>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</si>
  <si>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</si>
  <si>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</si>
  <si>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</si>
  <si>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</si>
  <si>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</si>
  <si>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</si>
  <si>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</si>
  <si>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</si>
  <si>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</si>
  <si>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</si>
  <si>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</si>
  <si>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</si>
  <si>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</si>
  <si>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</si>
  <si>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</si>
  <si>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</si>
  <si>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</si>
  <si>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</si>
  <si>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</si>
  <si>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</si>
  <si>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</si>
  <si>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</si>
  <si>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</si>
  <si>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</si>
  <si>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</si>
  <si>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</si>
  <si>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</si>
  <si>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</si>
  <si>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</si>
  <si>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</si>
  <si>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</si>
  <si>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</si>
  <si>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</si>
  <si>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</si>
  <si>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</si>
  <si>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</si>
  <si>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</si>
  <si>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</si>
  <si>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</si>
  <si>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</si>
  <si>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</si>
  <si>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</si>
  <si>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</si>
  <si>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</si>
  <si>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</si>
  <si>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</si>
  <si>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</si>
  <si>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</si>
  <si>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</si>
  <si>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</si>
  <si>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</si>
  <si>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</si>
  <si>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</si>
  <si>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</si>
  <si>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</si>
  <si>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</si>
  <si>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</si>
  <si>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</si>
  <si>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</si>
  <si>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</si>
  <si>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</si>
  <si>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</si>
  <si>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</si>
  <si>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</si>
  <si>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</si>
  <si>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</si>
  <si>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</si>
  <si>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</si>
  <si>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</si>
  <si>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</si>
  <si>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</si>
  <si>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</si>
  <si>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</si>
  <si>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</si>
  <si>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</si>
  <si>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</si>
  <si>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</si>
  <si>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</si>
  <si>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</si>
  <si>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</si>
  <si>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</si>
  <si>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</si>
  <si>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</si>
  <si>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</si>
  <si>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</si>
  <si>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</si>
  <si>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</si>
  <si>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</si>
  <si>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</si>
  <si>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</si>
  <si>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</si>
  <si>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</si>
  <si>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</si>
  <si>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</si>
  <si>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</si>
  <si>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</si>
  <si>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</si>
  <si>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</si>
  <si>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</si>
  <si>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</si>
  <si>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</si>
  <si>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</si>
  <si>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</si>
  <si>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</si>
  <si>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</si>
  <si>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</si>
  <si>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</si>
  <si>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</si>
  <si>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</si>
  <si>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</si>
  <si>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</si>
  <si>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</si>
  <si>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</si>
  <si>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</si>
  <si>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</si>
  <si>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</si>
  <si>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</si>
  <si>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</si>
  <si>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</si>
  <si>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</si>
  <si>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</si>
  <si>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</si>
  <si>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</si>
  <si>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</si>
  <si>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</si>
  <si>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</si>
  <si>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</si>
  <si>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</si>
  <si>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</si>
  <si>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</si>
  <si>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</si>
  <si>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</si>
  <si>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</si>
  <si>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</si>
  <si>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</si>
  <si>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</si>
  <si>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</si>
  <si>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</si>
  <si>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</si>
  <si>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</si>
  <si>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</si>
  <si>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</si>
  <si>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</si>
  <si>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</si>
  <si>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</si>
  <si>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</si>
  <si>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</si>
  <si>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</si>
  <si>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</si>
  <si>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</si>
  <si>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</si>
  <si>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</si>
  <si>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</si>
  <si>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</si>
  <si>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</si>
  <si>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</si>
  <si>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</si>
  <si>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</si>
  <si>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</si>
  <si>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</si>
  <si>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</si>
  <si>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</si>
  <si>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</si>
  <si>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</si>
  <si>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</si>
  <si>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</si>
  <si>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</si>
  <si>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</si>
  <si>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</si>
  <si>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</si>
  <si>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</si>
  <si>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</si>
  <si>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</si>
  <si>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</si>
  <si>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</si>
  <si>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</si>
  <si>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</si>
  <si>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</si>
  <si>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</si>
  <si>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</si>
  <si>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</si>
  <si>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</si>
  <si>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</si>
  <si>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</si>
  <si>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</si>
  <si>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</si>
  <si>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</si>
  <si>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</si>
  <si>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</si>
  <si>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</si>
  <si>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</si>
  <si>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</si>
  <si>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</si>
  <si>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</si>
  <si>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</si>
  <si>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</si>
  <si>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</si>
  <si>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</si>
  <si>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</si>
  <si>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</si>
  <si>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</si>
  <si>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</si>
  <si>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</si>
  <si>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</si>
  <si>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</si>
  <si>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</si>
  <si>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</si>
  <si>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</si>
  <si>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</si>
  <si>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</si>
  <si>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</si>
  <si>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</si>
  <si>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</si>
  <si>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</si>
  <si>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</si>
  <si>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</si>
  <si>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</si>
  <si>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</si>
  <si>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</si>
  <si>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</si>
  <si>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</si>
  <si>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</si>
  <si>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</si>
  <si>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</si>
  <si>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</si>
  <si>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</si>
  <si>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</si>
  <si>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</si>
  <si>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</si>
  <si>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</si>
  <si>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</si>
  <si>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</si>
  <si>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</si>
  <si>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</si>
  <si>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</si>
  <si>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</si>
  <si>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</si>
  <si>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</si>
  <si>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</si>
  <si>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</si>
  <si>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</si>
  <si>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</si>
  <si>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</si>
  <si>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</si>
  <si>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</si>
  <si>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</si>
  <si>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</si>
  <si>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</si>
  <si>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</si>
  <si>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</si>
  <si>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</si>
  <si>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</si>
  <si>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</si>
  <si>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</si>
  <si>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</si>
  <si>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</si>
  <si>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</si>
  <si>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</si>
  <si>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</si>
  <si>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</si>
  <si>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</si>
  <si>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</si>
  <si>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</si>
  <si>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</si>
  <si>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</si>
  <si>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</si>
  <si>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</si>
  <si>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</si>
  <si>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</si>
  <si>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</si>
  <si>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</si>
  <si>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</si>
  <si>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</si>
  <si>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</si>
  <si>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</si>
  <si>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</si>
  <si>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</si>
  <si>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</si>
  <si>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</si>
  <si>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</si>
  <si>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</si>
  <si>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</si>
  <si>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</si>
  <si>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</si>
  <si>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</si>
  <si>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</si>
  <si>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</si>
  <si>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</si>
  <si>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</si>
  <si>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</si>
  <si>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</si>
  <si>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</si>
  <si>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</si>
  <si>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</si>
  <si>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</si>
  <si>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</si>
  <si>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</si>
  <si>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</si>
  <si>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</si>
  <si>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</si>
  <si>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</si>
  <si>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</si>
  <si>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</si>
  <si>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</si>
  <si>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</si>
  <si>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</si>
  <si>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</si>
  <si>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</si>
  <si>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</si>
  <si>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</si>
  <si>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</si>
  <si>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</si>
  <si>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</si>
  <si>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</si>
  <si>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</si>
  <si>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</si>
  <si>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</si>
  <si>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</si>
  <si>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</si>
  <si>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</si>
  <si>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</si>
  <si>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</si>
  <si>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</si>
  <si>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</si>
  <si>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</si>
  <si>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</si>
  <si>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</si>
  <si>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</si>
  <si>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</si>
  <si>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</si>
  <si>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</si>
  <si>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</si>
  <si>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</si>
  <si>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</si>
  <si>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</si>
  <si>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</si>
  <si>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</si>
  <si>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</si>
  <si>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</si>
  <si>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</si>
  <si>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</si>
  <si>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</si>
  <si>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</si>
  <si>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</si>
  <si>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</si>
  <si>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</si>
  <si>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</si>
  <si>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</si>
  <si>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</si>
  <si>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</si>
  <si>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</si>
  <si>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</si>
  <si>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</si>
  <si>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</si>
  <si>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</si>
  <si>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</si>
  <si>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</si>
  <si>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</si>
  <si>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</si>
  <si>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</si>
  <si>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</si>
  <si>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</si>
  <si>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</si>
  <si>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</si>
  <si>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</si>
  <si>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</si>
  <si>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</si>
  <si>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</si>
  <si>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</si>
  <si>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</si>
  <si>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</si>
  <si>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</si>
  <si>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</si>
  <si>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</si>
  <si>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</si>
  <si>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</si>
  <si>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</si>
  <si>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</si>
  <si>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</si>
  <si>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</si>
  <si>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</si>
  <si>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</si>
  <si>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</si>
  <si>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</si>
  <si>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</si>
  <si>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</si>
  <si>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</si>
  <si>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</si>
  <si>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</si>
  <si>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</si>
  <si>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</si>
  <si>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</si>
  <si>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</si>
  <si>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</si>
  <si>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</si>
  <si>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</si>
  <si>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</si>
  <si>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</si>
  <si>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</si>
  <si>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</si>
  <si>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</si>
  <si>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</si>
  <si>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</si>
  <si>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</si>
  <si>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</si>
  <si>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</si>
  <si>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</si>
  <si>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</si>
  <si>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</si>
  <si>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</si>
  <si>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</si>
  <si>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</si>
  <si>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</si>
  <si>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</si>
  <si>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</si>
  <si>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</si>
  <si>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</si>
  <si>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</si>
  <si>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</si>
  <si>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</si>
  <si>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</si>
  <si>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</si>
  <si>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</si>
  <si>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</si>
  <si>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</si>
  <si>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</si>
  <si>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</si>
  <si>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</si>
  <si>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</si>
  <si>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</si>
  <si>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</si>
  <si>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</si>
  <si>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</si>
  <si>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</si>
  <si>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</si>
  <si>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</si>
  <si>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</si>
  <si>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</si>
  <si>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</si>
  <si>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</si>
  <si>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</si>
  <si>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</si>
  <si>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</si>
  <si>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</si>
  <si>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</si>
  <si>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</si>
  <si>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</si>
  <si>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</si>
  <si>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</si>
  <si>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</si>
  <si>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</si>
  <si>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</si>
  <si>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</si>
  <si>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</si>
  <si>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</si>
  <si>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</si>
  <si>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</si>
  <si>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</si>
  <si>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</si>
  <si>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</si>
  <si>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</si>
  <si>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</si>
  <si>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</si>
  <si>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</si>
  <si>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</si>
  <si>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</si>
  <si>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</si>
  <si>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</si>
  <si>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</si>
  <si>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</si>
  <si>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</si>
  <si>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</si>
  <si>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</si>
  <si>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</si>
  <si>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</si>
  <si>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</si>
  <si>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</si>
  <si>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</si>
  <si>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</si>
  <si>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</si>
  <si>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</si>
  <si>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</si>
  <si>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</si>
  <si>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</si>
  <si>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</si>
  <si>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</si>
  <si>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</si>
  <si>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</si>
  <si>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</si>
  <si>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</si>
  <si>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</si>
  <si>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</si>
  <si>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</si>
  <si>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</si>
  <si>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</si>
  <si>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</si>
  <si>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</si>
  <si>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</si>
  <si>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</si>
  <si>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7/16</t>
  </si>
  <si>
    <t>12/03</t>
  </si>
  <si>
    <t>112024</t>
  </si>
  <si>
    <t>812036</t>
  </si>
  <si>
    <t>CONWAY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</si>
</sst>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3"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113</v>
      </c>
      <c r="C2" s="21">
        <v>113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3419969.05</v>
      </c>
      <c r="G9" s="18">
        <v>5782.55</v>
      </c>
      <c r="H9" s="18">
        <v>0</v>
      </c>
      <c r="I9" s="18">
        <v>0</v>
      </c>
      <c r="J9" s="67">
        <f>SUM(I440)</f>
        <v>1975736.89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526676.56000000006</v>
      </c>
      <c r="G12" s="18"/>
      <c r="H12" s="18">
        <v>2000</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297651.92</v>
      </c>
      <c r="G13" s="18">
        <v>114836.74</v>
      </c>
      <c r="H13" s="18">
        <v>873634.83</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12964.24</v>
      </c>
      <c r="G14" s="18">
        <v>123.88</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14688.98</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4257261.7700000005</v>
      </c>
      <c r="G19" s="41">
        <f>SUM(G9:G18)</f>
        <v>135432.15000000002</v>
      </c>
      <c r="H19" s="41">
        <f>SUM(H9:H18)</f>
        <v>875634.83</v>
      </c>
      <c r="I19" s="41">
        <f>SUM(I9:I18)</f>
        <v>0</v>
      </c>
      <c r="J19" s="41">
        <f>SUM(J9:J18)</f>
        <v>1975736.89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120743.17</v>
      </c>
      <c r="H22" s="18">
        <v>368145.89</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491814.89</v>
      </c>
      <c r="G24" s="18">
        <v>0</v>
      </c>
      <c r="H24" s="18">
        <v>100434.8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48251.03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110639.2</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650705.12</v>
      </c>
      <c r="G32" s="41">
        <f>SUM(G22:G31)</f>
        <v>120743.17</v>
      </c>
      <c r="H32" s="41">
        <f>SUM(H22:H31)</f>
        <v>468580.69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14688.98</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228340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0</v>
      </c>
      <c r="H48" s="18">
        <v>407054.14</v>
      </c>
      <c r="I48" s="18">
        <v>0</v>
      </c>
      <c r="J48" s="13">
        <f>SUM(I460)</f>
        <v>1975736.89</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3378216.65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3606556.65</v>
      </c>
      <c r="G51" s="41">
        <f>SUM(G35:G50)</f>
        <v>14688.98</v>
      </c>
      <c r="H51" s="41">
        <f>SUM(H35:H50)</f>
        <v>407054.14</v>
      </c>
      <c r="I51" s="41">
        <f>SUM(I35:I50)</f>
        <v>0</v>
      </c>
      <c r="J51" s="41">
        <f>SUM(J35:J50)</f>
        <v>1975736.89</v>
      </c>
      <c r="K51" s="45" t="s">
        <v>288</v>
      </c>
      <c r="L51" s="45" t="s">
        <v>288</v>
      </c>
      <c r="N51" s="262"/>
    </row>
    <row r="52" spans="1:14" s="3" customFormat="1" ht="12.2" customHeight="1" thickTop="1" x14ac:dyDescent="0.15">
      <c r="A52" s="38" t="s">
        <v>455</v>
      </c>
      <c r="B52" s="39" t="s">
        <v>289</v>
      </c>
      <c r="C52" s="6">
        <v>37</v>
      </c>
      <c r="D52" s="39" t="s">
        <v>653</v>
      </c>
      <c r="E52" s="39"/>
      <c r="F52" s="41">
        <f>F51+F32</f>
        <v>4257261.7699999996</v>
      </c>
      <c r="G52" s="41">
        <f>G51+G32</f>
        <v>135432.15</v>
      </c>
      <c r="H52" s="41">
        <f>H51+H32</f>
        <v>875634.83000000007</v>
      </c>
      <c r="I52" s="41">
        <f>I51+I32</f>
        <v>0</v>
      </c>
      <c r="J52" s="41">
        <f>J51+J32</f>
        <v>1975736.89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14953923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14953923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10616009.050000001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10616009.050000001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15206.07</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15206.07</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7655.19</v>
      </c>
      <c r="G96" s="18"/>
      <c r="H96" s="18"/>
      <c r="I96" s="18"/>
      <c r="J96" s="18">
        <v>3728.79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1715.29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30950.5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328343.13</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583277.12</v>
      </c>
      <c r="G110" s="18"/>
      <c r="H110" s="18">
        <v>251835.39</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950225.94</v>
      </c>
      <c r="G111" s="41">
        <f>SUM(G96:G110)</f>
        <v>1715.29</v>
      </c>
      <c r="H111" s="41">
        <f>SUM(H96:H110)</f>
        <v>251835.39</v>
      </c>
      <c r="I111" s="41">
        <f>SUM(I96:I110)</f>
        <v>0</v>
      </c>
      <c r="J111" s="41">
        <f>SUM(J96:J110)</f>
        <v>3728.79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26535364.060000002</v>
      </c>
      <c r="G112" s="41">
        <f>G60+G111</f>
        <v>1715.29</v>
      </c>
      <c r="H112" s="41">
        <f>H60+H79+H94+H111</f>
        <v>251835.39</v>
      </c>
      <c r="I112" s="41">
        <f>I60+I111</f>
        <v>0</v>
      </c>
      <c r="J112" s="41">
        <f>J60+J111</f>
        <v>3728.79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3155017.3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3313297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7980.84</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6476295.1399999997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1059831.67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279629.75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12720.82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1339461.42</v>
      </c>
      <c r="G136" s="41">
        <f>SUM(G123:G135)</f>
        <v>12720.82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7815756.5599999996</v>
      </c>
      <c r="G140" s="41">
        <f>G121+SUM(G136:G137)</f>
        <v>12720.82</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630968.81000000006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638416.86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189135.79</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539338.99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441412.32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62230.73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469895.71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309083.02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62230.73</v>
      </c>
      <c r="G163" s="41">
        <f>SUM(G150:G162)</f>
        <v>539338.99</v>
      </c>
      <c r="H163" s="41">
        <f>SUM(H150:H162)</f>
        <v>2678912.5100000002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785.59</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63016.32</v>
      </c>
      <c r="G170" s="41">
        <f>G147+G163+SUM(G164:G169)</f>
        <v>539338.99</v>
      </c>
      <c r="H170" s="41">
        <f>H147+H163+SUM(H164:H169)</f>
        <v>2678912.5100000002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106223.89</v>
      </c>
      <c r="H180" s="18"/>
      <c r="I180" s="18"/>
      <c r="J180" s="18">
        <v>381429</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106223.89</v>
      </c>
      <c r="H184" s="41">
        <f>SUM(H180:H183)</f>
        <v>0</v>
      </c>
      <c r="I184" s="41">
        <f>SUM(I180:I183)</f>
        <v>0</v>
      </c>
      <c r="J184" s="41">
        <f>SUM(J180:J183)</f>
        <v>381429</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113425.41</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39787.5</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153212.91</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153212.91</v>
      </c>
      <c r="G193" s="41">
        <f>G184+SUM(G189:G192)</f>
        <v>106223.89</v>
      </c>
      <c r="H193" s="41">
        <f>+H184+SUM(H189:H192)</f>
        <v>0</v>
      </c>
      <c r="I193" s="41">
        <f>I178+I184+SUM(I189:I192)</f>
        <v>0</v>
      </c>
      <c r="J193" s="41">
        <f>J184</f>
        <v>381429</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34567349.850000001</v>
      </c>
      <c r="G194" s="47">
        <f>G112+G140+G170+G193</f>
        <v>659998.99</v>
      </c>
      <c r="H194" s="47">
        <f>H112+H140+H170+H193</f>
        <v>2930747.9000000004</v>
      </c>
      <c r="I194" s="47">
        <f>I112+I140+I170+I193</f>
        <v>0</v>
      </c>
      <c r="J194" s="47">
        <f>J112+J140+J193</f>
        <v>385157.79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2964988.11</v>
      </c>
      <c r="G198" s="18">
        <v>2252164.02</v>
      </c>
      <c r="H198" s="18">
        <v>9892.42</v>
      </c>
      <c r="I198" s="18">
        <v>159683.62</v>
      </c>
      <c r="J198" s="18">
        <v>52080.09</v>
      </c>
      <c r="K198" s="18"/>
      <c r="L198" s="19">
        <f>SUM(F198:K198)</f>
        <v>5438808.2599999998</v>
      </c>
      <c r="M198" s="8"/>
      <c r="N198" s="264"/>
    </row>
    <row r="199" spans="1:14" s="3" customFormat="1" ht="12.2" customHeight="1" x14ac:dyDescent="0.15">
      <c r="A199" s="1" t="s">
        <v>439</v>
      </c>
      <c r="B199" s="2" t="s">
        <v>341</v>
      </c>
      <c r="C199" s="2" t="s">
        <v>291</v>
      </c>
      <c r="D199" s="2" t="s">
        <v>431</v>
      </c>
      <c r="E199" s="6">
        <v>1200</v>
      </c>
      <c r="F199" s="18">
        <v>1267607.58</v>
      </c>
      <c r="G199" s="18">
        <v>926339.17</v>
      </c>
      <c r="H199" s="18">
        <v>222412.06</v>
      </c>
      <c r="I199" s="18">
        <v>1753.45</v>
      </c>
      <c r="J199" s="18"/>
      <c r="K199" s="18"/>
      <c r="L199" s="19">
        <f>SUM(F199:K199)</f>
        <v>2418112.2600000002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49938.04</v>
      </c>
      <c r="G201" s="18">
        <v>14113.96</v>
      </c>
      <c r="H201" s="18">
        <v>3984</v>
      </c>
      <c r="I201" s="18">
        <v>1698</v>
      </c>
      <c r="J201" s="18"/>
      <c r="K201" s="18"/>
      <c r="L201" s="19">
        <f>SUM(F201:K201)</f>
        <v>69734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614032.16</v>
      </c>
      <c r="G203" s="18">
        <v>388440.58</v>
      </c>
      <c r="H203" s="18">
        <v>164623.70000000001</v>
      </c>
      <c r="I203" s="18">
        <v>7153.61</v>
      </c>
      <c r="J203" s="18">
        <v>958.56</v>
      </c>
      <c r="K203" s="18">
        <v>345</v>
      </c>
      <c r="L203" s="19">
        <f t="shared" ref="L203:L209" si="0">SUM(F203:K203)</f>
        <v>1175553.6100000001</v>
      </c>
      <c r="M203" s="8"/>
      <c r="N203" s="264"/>
    </row>
    <row r="204" spans="1:14" s="3" customFormat="1" ht="12.2" customHeight="1" x14ac:dyDescent="0.15">
      <c r="A204" s="1" t="s">
        <v>443</v>
      </c>
      <c r="B204" s="2" t="s">
        <v>341</v>
      </c>
      <c r="C204" s="2" t="s">
        <v>295</v>
      </c>
      <c r="D204" s="2" t="s">
        <v>431</v>
      </c>
      <c r="E204" s="6">
        <v>2200</v>
      </c>
      <c r="F204" s="18">
        <v>138764.75</v>
      </c>
      <c r="G204" s="18">
        <v>104472.8</v>
      </c>
      <c r="H204" s="18">
        <v>31647.97</v>
      </c>
      <c r="I204" s="18">
        <v>29694.78</v>
      </c>
      <c r="J204" s="18">
        <v>854.53</v>
      </c>
      <c r="K204" s="18"/>
      <c r="L204" s="19">
        <f t="shared" si="0"/>
        <v>305434.83000000007</v>
      </c>
      <c r="M204" s="8"/>
      <c r="N204" s="264"/>
    </row>
    <row r="205" spans="1:14" s="3" customFormat="1" ht="12.2" customHeight="1" x14ac:dyDescent="0.15">
      <c r="A205" s="1" t="s">
        <v>444</v>
      </c>
      <c r="B205" s="2" t="s">
        <v>341</v>
      </c>
      <c r="C205" s="2" t="s">
        <v>296</v>
      </c>
      <c r="D205" s="2" t="s">
        <v>431</v>
      </c>
      <c r="E205" s="6">
        <v>2300</v>
      </c>
      <c r="F205" s="18">
        <v>8990.7000000000007</v>
      </c>
      <c r="G205" s="18">
        <v>746.22</v>
      </c>
      <c r="H205" s="18">
        <v>533340.75</v>
      </c>
      <c r="I205" s="18">
        <v>774.02</v>
      </c>
      <c r="J205" s="18">
        <v>0</v>
      </c>
      <c r="K205" s="18">
        <v>1976.49</v>
      </c>
      <c r="L205" s="19">
        <f t="shared" si="0"/>
        <v>545828.18000000005</v>
      </c>
      <c r="M205" s="8"/>
      <c r="N205" s="264"/>
    </row>
    <row r="206" spans="1:14" s="3" customFormat="1" ht="12.2" customHeight="1" x14ac:dyDescent="0.15">
      <c r="A206" s="1" t="s">
        <v>445</v>
      </c>
      <c r="B206" s="2" t="s">
        <v>341</v>
      </c>
      <c r="C206" s="2" t="s">
        <v>297</v>
      </c>
      <c r="D206" s="2" t="s">
        <v>431</v>
      </c>
      <c r="E206" s="6">
        <v>2400</v>
      </c>
      <c r="F206" s="18">
        <v>381055.83</v>
      </c>
      <c r="G206" s="18">
        <v>226211.41</v>
      </c>
      <c r="H206" s="18">
        <v>62642.44</v>
      </c>
      <c r="I206" s="18">
        <v>5937.01</v>
      </c>
      <c r="J206" s="18">
        <v>93802.57</v>
      </c>
      <c r="K206" s="18">
        <v>2683</v>
      </c>
      <c r="L206" s="19">
        <f>SUM(F206:K206)</f>
        <v>772332.26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363558.62</v>
      </c>
      <c r="G208" s="18">
        <v>200757.5</v>
      </c>
      <c r="H208" s="18">
        <v>399528.65</v>
      </c>
      <c r="I208" s="18">
        <v>219153.48</v>
      </c>
      <c r="J208" s="18">
        <v>16154</v>
      </c>
      <c r="K208" s="18"/>
      <c r="L208" s="19">
        <f t="shared" si="0"/>
        <v>1199152.25</v>
      </c>
      <c r="M208" s="8"/>
      <c r="N208" s="264"/>
    </row>
    <row r="209" spans="1:14" s="3" customFormat="1" ht="12.2" customHeight="1" x14ac:dyDescent="0.15">
      <c r="A209" s="1" t="s">
        <v>448</v>
      </c>
      <c r="B209" s="2" t="s">
        <v>341</v>
      </c>
      <c r="C209" s="2" t="s">
        <v>300</v>
      </c>
      <c r="D209" s="2" t="s">
        <v>431</v>
      </c>
      <c r="E209" s="6">
        <v>2700</v>
      </c>
      <c r="F209" s="18">
        <v>149525.20000000001</v>
      </c>
      <c r="G209" s="18">
        <v>75431.5</v>
      </c>
      <c r="H209" s="18">
        <v>18923.509999999998</v>
      </c>
      <c r="I209" s="18">
        <v>34466.19</v>
      </c>
      <c r="J209" s="18">
        <v>37925.120000000003</v>
      </c>
      <c r="K209" s="18"/>
      <c r="L209" s="19">
        <f t="shared" si="0"/>
        <v>316271.52</v>
      </c>
      <c r="M209" s="8"/>
      <c r="N209" s="264"/>
    </row>
    <row r="210" spans="1:14" s="3" customFormat="1" ht="12.2" customHeight="1" x14ac:dyDescent="0.15">
      <c r="A210" s="1" t="s">
        <v>449</v>
      </c>
      <c r="B210" s="2" t="s">
        <v>341</v>
      </c>
      <c r="C210" s="2" t="s">
        <v>343</v>
      </c>
      <c r="D210" s="2" t="s">
        <v>431</v>
      </c>
      <c r="E210" s="6">
        <v>2800</v>
      </c>
      <c r="F210" s="18">
        <v>0</v>
      </c>
      <c r="G210" s="18">
        <v>0</v>
      </c>
      <c r="H210" s="18">
        <v>1286.45</v>
      </c>
      <c r="I210" s="18">
        <v>0</v>
      </c>
      <c r="J210" s="18">
        <v>0</v>
      </c>
      <c r="K210" s="18"/>
      <c r="L210" s="19">
        <f>SUM(F210:K210)</f>
        <v>1286.45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5938460.9900000002</v>
      </c>
      <c r="G212" s="41">
        <f t="shared" si="1"/>
        <v>4188677.16</v>
      </c>
      <c r="H212" s="41">
        <f t="shared" si="1"/>
        <v>1448281.9500000002</v>
      </c>
      <c r="I212" s="41">
        <f t="shared" si="1"/>
        <v>460314.16</v>
      </c>
      <c r="J212" s="41">
        <f t="shared" si="1"/>
        <v>201774.87</v>
      </c>
      <c r="K212" s="41">
        <f t="shared" si="1"/>
        <v>5004.49</v>
      </c>
      <c r="L212" s="41">
        <f t="shared" si="1"/>
        <v>12242513.619999997</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1182738.71</v>
      </c>
      <c r="G216" s="18">
        <v>873902.8</v>
      </c>
      <c r="H216" s="18">
        <v>9929.73</v>
      </c>
      <c r="I216" s="18">
        <v>63037.1</v>
      </c>
      <c r="J216" s="18">
        <v>66865.98</v>
      </c>
      <c r="K216" s="18"/>
      <c r="L216" s="19">
        <f>SUM(F216:K216)</f>
        <v>2196474.3199999998</v>
      </c>
      <c r="M216" s="8"/>
      <c r="N216" s="264"/>
    </row>
    <row r="217" spans="1:14" s="3" customFormat="1" ht="12.2" customHeight="1" x14ac:dyDescent="0.15">
      <c r="A217" s="1" t="s">
        <v>439</v>
      </c>
      <c r="B217" s="2" t="s">
        <v>346</v>
      </c>
      <c r="C217" s="2" t="s">
        <v>291</v>
      </c>
      <c r="D217" s="2" t="s">
        <v>431</v>
      </c>
      <c r="E217" s="6">
        <v>1200</v>
      </c>
      <c r="F217" s="18">
        <v>472135.86</v>
      </c>
      <c r="G217" s="18">
        <v>297218.59999999998</v>
      </c>
      <c r="H217" s="18">
        <v>195012.23</v>
      </c>
      <c r="I217" s="18">
        <v>6242.7</v>
      </c>
      <c r="J217" s="18"/>
      <c r="K217" s="18"/>
      <c r="L217" s="19">
        <f>SUM(F217:K217)</f>
        <v>970609.3899999999</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70123</v>
      </c>
      <c r="G219" s="18">
        <v>13405.87</v>
      </c>
      <c r="H219" s="18">
        <v>13442.7</v>
      </c>
      <c r="I219" s="18">
        <v>7912.25</v>
      </c>
      <c r="J219" s="18">
        <v>4939.78</v>
      </c>
      <c r="K219" s="18">
        <v>1376.32</v>
      </c>
      <c r="L219" s="19">
        <f>SUM(F219:K219)</f>
        <v>111199.92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150168.12</v>
      </c>
      <c r="G221" s="18">
        <v>92667.73</v>
      </c>
      <c r="H221" s="18">
        <v>3404.54</v>
      </c>
      <c r="I221" s="18">
        <v>5009.97</v>
      </c>
      <c r="J221" s="18">
        <v>357.54</v>
      </c>
      <c r="K221" s="18">
        <v>418</v>
      </c>
      <c r="L221" s="19">
        <f t="shared" ref="L221:L227" si="2">SUM(F221:K221)</f>
        <v>252025.9</v>
      </c>
      <c r="M221" s="8"/>
      <c r="N221" s="264"/>
    </row>
    <row r="222" spans="1:14" s="3" customFormat="1" ht="12.2" customHeight="1" x14ac:dyDescent="0.15">
      <c r="A222" s="1" t="s">
        <v>443</v>
      </c>
      <c r="B222" s="2" t="s">
        <v>346</v>
      </c>
      <c r="C222" s="2" t="s">
        <v>295</v>
      </c>
      <c r="D222" s="2" t="s">
        <v>431</v>
      </c>
      <c r="E222" s="6">
        <v>2200</v>
      </c>
      <c r="F222" s="18">
        <v>62929</v>
      </c>
      <c r="G222" s="18">
        <v>48211.32</v>
      </c>
      <c r="H222" s="18">
        <v>16730</v>
      </c>
      <c r="I222" s="18">
        <v>8404.3700000000008</v>
      </c>
      <c r="J222" s="18"/>
      <c r="K222" s="18"/>
      <c r="L222" s="19">
        <f t="shared" si="2"/>
        <v>136274.69</v>
      </c>
      <c r="M222" s="8"/>
      <c r="N222" s="264"/>
    </row>
    <row r="223" spans="1:14" s="3" customFormat="1" ht="12.2" customHeight="1" x14ac:dyDescent="0.15">
      <c r="A223" s="1" t="s">
        <v>444</v>
      </c>
      <c r="B223" s="2" t="s">
        <v>346</v>
      </c>
      <c r="C223" s="2" t="s">
        <v>296</v>
      </c>
      <c r="D223" s="2" t="s">
        <v>431</v>
      </c>
      <c r="E223" s="6">
        <v>2300</v>
      </c>
      <c r="F223" s="18">
        <v>3454.6</v>
      </c>
      <c r="G223" s="18">
        <v>286.73</v>
      </c>
      <c r="H223" s="18">
        <v>204931.65</v>
      </c>
      <c r="I223" s="18">
        <v>297.41000000000003</v>
      </c>
      <c r="J223" s="18"/>
      <c r="K223" s="18">
        <v>759.45</v>
      </c>
      <c r="L223" s="19">
        <f t="shared" si="2"/>
        <v>209729.84</v>
      </c>
      <c r="M223" s="8"/>
      <c r="N223" s="264"/>
    </row>
    <row r="224" spans="1:14" s="3" customFormat="1" ht="12.2" customHeight="1" x14ac:dyDescent="0.15">
      <c r="A224" s="1" t="s">
        <v>445</v>
      </c>
      <c r="B224" s="2" t="s">
        <v>346</v>
      </c>
      <c r="C224" s="2" t="s">
        <v>297</v>
      </c>
      <c r="D224" s="2" t="s">
        <v>431</v>
      </c>
      <c r="E224" s="6">
        <v>2400</v>
      </c>
      <c r="F224" s="18">
        <v>166355.57999999999</v>
      </c>
      <c r="G224" s="18">
        <v>57123.92</v>
      </c>
      <c r="H224" s="18">
        <v>23866.880000000001</v>
      </c>
      <c r="I224" s="18">
        <v>1018.79</v>
      </c>
      <c r="J224" s="18">
        <v>1101.52</v>
      </c>
      <c r="K224" s="18">
        <v>1149</v>
      </c>
      <c r="L224" s="19">
        <f>SUM(F224:K224)</f>
        <v>250615.69</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258975.1</v>
      </c>
      <c r="G226" s="18">
        <v>127810.33</v>
      </c>
      <c r="H226" s="18">
        <v>259912.95999999999</v>
      </c>
      <c r="I226" s="18">
        <v>215259.44</v>
      </c>
      <c r="J226" s="18">
        <v>18998.669999999998</v>
      </c>
      <c r="K226" s="18"/>
      <c r="L226" s="19">
        <f t="shared" si="2"/>
        <v>880956.50000000012</v>
      </c>
      <c r="M226" s="8"/>
      <c r="N226" s="264"/>
    </row>
    <row r="227" spans="1:14" s="3" customFormat="1" ht="12.2" customHeight="1" x14ac:dyDescent="0.15">
      <c r="A227" s="1" t="s">
        <v>448</v>
      </c>
      <c r="B227" s="2" t="s">
        <v>346</v>
      </c>
      <c r="C227" s="2" t="s">
        <v>300</v>
      </c>
      <c r="D227" s="2" t="s">
        <v>431</v>
      </c>
      <c r="E227" s="6">
        <v>2700</v>
      </c>
      <c r="F227" s="18">
        <v>36553.81</v>
      </c>
      <c r="G227" s="18">
        <v>21192.73</v>
      </c>
      <c r="H227" s="18">
        <v>5009.62</v>
      </c>
      <c r="I227" s="18">
        <v>9124.23</v>
      </c>
      <c r="J227" s="18">
        <v>14572.4</v>
      </c>
      <c r="K227" s="18"/>
      <c r="L227" s="19">
        <f t="shared" si="2"/>
        <v>86452.79</v>
      </c>
      <c r="M227" s="8"/>
      <c r="N227" s="264"/>
    </row>
    <row r="228" spans="1:14" s="3" customFormat="1" ht="12.2" customHeight="1" x14ac:dyDescent="0.15">
      <c r="A228" s="1" t="s">
        <v>449</v>
      </c>
      <c r="B228" s="2" t="s">
        <v>346</v>
      </c>
      <c r="C228" s="2" t="s">
        <v>343</v>
      </c>
      <c r="D228" s="2" t="s">
        <v>431</v>
      </c>
      <c r="E228" s="6">
        <v>2800</v>
      </c>
      <c r="F228" s="18">
        <v>0</v>
      </c>
      <c r="G228" s="18">
        <v>0</v>
      </c>
      <c r="H228" s="18">
        <v>494.31</v>
      </c>
      <c r="I228" s="18">
        <v>0</v>
      </c>
      <c r="J228" s="18">
        <v>0</v>
      </c>
      <c r="K228" s="18">
        <v>0</v>
      </c>
      <c r="L228" s="19">
        <f>SUM(F228:K228)</f>
        <v>494.31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2403433.7800000003</v>
      </c>
      <c r="G230" s="41">
        <f>SUM(G216:G229)</f>
        <v>1531820.03</v>
      </c>
      <c r="H230" s="41">
        <f>SUM(H216:H229)</f>
        <v>732734.62000000011</v>
      </c>
      <c r="I230" s="41">
        <f>SUM(I216:I229)</f>
        <v>316306.26</v>
      </c>
      <c r="J230" s="41">
        <f>SUM(J216:J229)</f>
        <v>106835.88999999998</v>
      </c>
      <c r="K230" s="41">
        <f t="shared" si="3"/>
        <v>3702.77</v>
      </c>
      <c r="L230" s="41">
        <f t="shared" si="3"/>
        <v>5094833.3499999996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2679148.52</v>
      </c>
      <c r="G234" s="18">
        <v>2346668.88</v>
      </c>
      <c r="H234" s="18">
        <v>26602.92</v>
      </c>
      <c r="I234" s="18">
        <v>93411.36</v>
      </c>
      <c r="J234" s="18">
        <v>118501.4</v>
      </c>
      <c r="K234" s="18"/>
      <c r="L234" s="19">
        <f>SUM(F234:K234)</f>
        <v>5264333.080000001</v>
      </c>
      <c r="M234" s="8"/>
      <c r="N234" s="264"/>
    </row>
    <row r="235" spans="1:14" s="3" customFormat="1" ht="12.2" customHeight="1" x14ac:dyDescent="0.15">
      <c r="A235" s="1" t="s">
        <v>439</v>
      </c>
      <c r="B235" s="2" t="s">
        <v>350</v>
      </c>
      <c r="C235" s="2" t="s">
        <v>291</v>
      </c>
      <c r="D235" s="2" t="s">
        <v>431</v>
      </c>
      <c r="E235" s="6">
        <v>1200</v>
      </c>
      <c r="F235" s="18">
        <v>620647.25</v>
      </c>
      <c r="G235" s="18">
        <v>380586.02</v>
      </c>
      <c r="H235" s="18">
        <v>199128.92</v>
      </c>
      <c r="I235" s="18">
        <v>5496.34</v>
      </c>
      <c r="J235" s="18">
        <v>2206.88</v>
      </c>
      <c r="K235" s="18"/>
      <c r="L235" s="19">
        <f>SUM(F235:K235)</f>
        <v>1208065.4099999999</v>
      </c>
      <c r="M235" s="8"/>
      <c r="N235" s="264"/>
    </row>
    <row r="236" spans="1:14" s="3" customFormat="1" ht="12.2" customHeight="1" x14ac:dyDescent="0.15">
      <c r="A236" s="1" t="s">
        <v>440</v>
      </c>
      <c r="B236" s="2" t="s">
        <v>350</v>
      </c>
      <c r="C236" s="2" t="s">
        <v>292</v>
      </c>
      <c r="D236" s="2" t="s">
        <v>431</v>
      </c>
      <c r="E236" s="6">
        <v>1300</v>
      </c>
      <c r="F236" s="18">
        <v>563288.59</v>
      </c>
      <c r="G236" s="18">
        <v>311411.34999999998</v>
      </c>
      <c r="H236" s="18">
        <v>44973.17</v>
      </c>
      <c r="I236" s="18">
        <v>77241.75</v>
      </c>
      <c r="J236" s="18">
        <v>16537.97</v>
      </c>
      <c r="K236" s="18"/>
      <c r="L236" s="19">
        <f>SUM(F236:K236)</f>
        <v>1013452.83</v>
      </c>
      <c r="M236" s="8"/>
      <c r="N236" s="264"/>
    </row>
    <row r="237" spans="1:14" s="3" customFormat="1" ht="12.2" customHeight="1" x14ac:dyDescent="0.15">
      <c r="A237" s="1" t="s">
        <v>441</v>
      </c>
      <c r="B237" s="2" t="s">
        <v>350</v>
      </c>
      <c r="C237" s="2" t="s">
        <v>293</v>
      </c>
      <c r="D237" s="2" t="s">
        <v>431</v>
      </c>
      <c r="E237" s="6">
        <v>1400</v>
      </c>
      <c r="F237" s="18">
        <v>226255</v>
      </c>
      <c r="G237" s="18">
        <v>48480.78</v>
      </c>
      <c r="H237" s="18">
        <v>91327.88</v>
      </c>
      <c r="I237" s="18">
        <v>35738.800000000003</v>
      </c>
      <c r="J237" s="18">
        <v>8885.49</v>
      </c>
      <c r="K237" s="18">
        <v>10110.540000000001</v>
      </c>
      <c r="L237" s="19">
        <f>SUM(F237:K237)</f>
        <v>420798.49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689961.81</v>
      </c>
      <c r="G239" s="18">
        <v>406929.31</v>
      </c>
      <c r="H239" s="18">
        <v>76669.53</v>
      </c>
      <c r="I239" s="18">
        <v>8736.7000000000007</v>
      </c>
      <c r="J239" s="18">
        <v>982.55</v>
      </c>
      <c r="K239" s="18">
        <v>300</v>
      </c>
      <c r="L239" s="19">
        <f t="shared" ref="L239:L245" si="4">SUM(F239:K239)</f>
        <v>1183579.9000000001</v>
      </c>
      <c r="M239" s="8"/>
      <c r="N239" s="264"/>
    </row>
    <row r="240" spans="1:14" s="3" customFormat="1" ht="12.2" customHeight="1" x14ac:dyDescent="0.15">
      <c r="A240" s="1" t="s">
        <v>443</v>
      </c>
      <c r="B240" s="2" t="s">
        <v>350</v>
      </c>
      <c r="C240" s="2" t="s">
        <v>295</v>
      </c>
      <c r="D240" s="2" t="s">
        <v>431</v>
      </c>
      <c r="E240" s="6">
        <v>2200</v>
      </c>
      <c r="F240" s="18">
        <v>69110.5</v>
      </c>
      <c r="G240" s="18">
        <v>42926.77</v>
      </c>
      <c r="H240" s="18">
        <v>45236.13</v>
      </c>
      <c r="I240" s="18">
        <v>5553.31</v>
      </c>
      <c r="J240" s="18"/>
      <c r="K240" s="18">
        <v>1017</v>
      </c>
      <c r="L240" s="19">
        <f t="shared" si="4"/>
        <v>163843.71</v>
      </c>
      <c r="M240" s="8"/>
      <c r="N240" s="264"/>
    </row>
    <row r="241" spans="1:14" s="3" customFormat="1" ht="12.2" customHeight="1" x14ac:dyDescent="0.15">
      <c r="A241" s="1" t="s">
        <v>444</v>
      </c>
      <c r="B241" s="2" t="s">
        <v>350</v>
      </c>
      <c r="C241" s="2" t="s">
        <v>296</v>
      </c>
      <c r="D241" s="2" t="s">
        <v>431</v>
      </c>
      <c r="E241" s="6">
        <v>2300</v>
      </c>
      <c r="F241" s="18">
        <v>10554.7</v>
      </c>
      <c r="G241" s="18">
        <v>876.03</v>
      </c>
      <c r="H241" s="18">
        <v>626119.30000000005</v>
      </c>
      <c r="I241" s="18">
        <v>908.66</v>
      </c>
      <c r="J241" s="18"/>
      <c r="K241" s="18">
        <v>2320.3200000000002</v>
      </c>
      <c r="L241" s="19">
        <f t="shared" si="4"/>
        <v>640779.01</v>
      </c>
      <c r="M241" s="8"/>
      <c r="N241" s="264"/>
    </row>
    <row r="242" spans="1:14" s="3" customFormat="1" ht="12.2" customHeight="1" x14ac:dyDescent="0.15">
      <c r="A242" s="1" t="s">
        <v>445</v>
      </c>
      <c r="B242" s="2" t="s">
        <v>350</v>
      </c>
      <c r="C242" s="2" t="s">
        <v>297</v>
      </c>
      <c r="D242" s="2" t="s">
        <v>431</v>
      </c>
      <c r="E242" s="6">
        <v>2400</v>
      </c>
      <c r="F242" s="18">
        <v>497866.26</v>
      </c>
      <c r="G242" s="18">
        <v>300175.37</v>
      </c>
      <c r="H242" s="18">
        <v>71779.06</v>
      </c>
      <c r="I242" s="18">
        <v>20617.97</v>
      </c>
      <c r="J242" s="18">
        <v>4545.3900000000003</v>
      </c>
      <c r="K242" s="18">
        <v>27681.17</v>
      </c>
      <c r="L242" s="19">
        <f t="shared" si="4"/>
        <v>922665.22</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572316.06999999995</v>
      </c>
      <c r="G244" s="18">
        <v>327764.15000000002</v>
      </c>
      <c r="H244" s="18">
        <v>435246.6</v>
      </c>
      <c r="I244" s="18">
        <v>501251.95</v>
      </c>
      <c r="J244" s="18">
        <v>51668</v>
      </c>
      <c r="K244" s="18"/>
      <c r="L244" s="19">
        <f t="shared" si="4"/>
        <v>1888246.7699999998</v>
      </c>
      <c r="M244" s="8"/>
      <c r="N244" s="264"/>
    </row>
    <row r="245" spans="1:14" s="3" customFormat="1" ht="12.2" customHeight="1" x14ac:dyDescent="0.15">
      <c r="A245" s="1" t="s">
        <v>448</v>
      </c>
      <c r="B245" s="2" t="s">
        <v>350</v>
      </c>
      <c r="C245" s="2" t="s">
        <v>300</v>
      </c>
      <c r="D245" s="2" t="s">
        <v>431</v>
      </c>
      <c r="E245" s="6">
        <v>2700</v>
      </c>
      <c r="F245" s="18">
        <v>133806.13</v>
      </c>
      <c r="G245" s="18">
        <v>67552.210000000006</v>
      </c>
      <c r="H245" s="18">
        <v>57895.79</v>
      </c>
      <c r="I245" s="18">
        <v>27876.89</v>
      </c>
      <c r="J245" s="18">
        <v>44522.48</v>
      </c>
      <c r="K245" s="18"/>
      <c r="L245" s="19">
        <f t="shared" si="4"/>
        <v>331653.5</v>
      </c>
      <c r="M245" s="8"/>
      <c r="N245" s="264"/>
    </row>
    <row r="246" spans="1:14" s="3" customFormat="1" ht="12.2" customHeight="1" x14ac:dyDescent="0.15">
      <c r="A246" s="1" t="s">
        <v>449</v>
      </c>
      <c r="B246" s="2" t="s">
        <v>350</v>
      </c>
      <c r="C246" s="2" t="s">
        <v>343</v>
      </c>
      <c r="D246" s="2" t="s">
        <v>431</v>
      </c>
      <c r="E246" s="6">
        <v>2800</v>
      </c>
      <c r="F246" s="18">
        <v>0</v>
      </c>
      <c r="G246" s="18">
        <v>0</v>
      </c>
      <c r="H246" s="18">
        <v>1510.24</v>
      </c>
      <c r="I246" s="18">
        <v>0</v>
      </c>
      <c r="J246" s="18"/>
      <c r="K246" s="18"/>
      <c r="L246" s="19">
        <f>SUM(F246:K246)</f>
        <v>1510.24</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6062954.8300000001</v>
      </c>
      <c r="G248" s="41">
        <f t="shared" si="5"/>
        <v>4233370.87</v>
      </c>
      <c r="H248" s="41">
        <f t="shared" si="5"/>
        <v>1676489.5400000003</v>
      </c>
      <c r="I248" s="41">
        <f t="shared" si="5"/>
        <v>776833.7300000001</v>
      </c>
      <c r="J248" s="41">
        <f t="shared" si="5"/>
        <v>247850.16</v>
      </c>
      <c r="K248" s="41">
        <f t="shared" si="5"/>
        <v>41429.03</v>
      </c>
      <c r="L248" s="41">
        <f t="shared" si="5"/>
        <v>13038928.160000002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14404849.600000001</v>
      </c>
      <c r="G258" s="41">
        <f t="shared" si="8"/>
        <v>9953868.0600000005</v>
      </c>
      <c r="H258" s="41">
        <f t="shared" si="8"/>
        <v>3857506.1100000003</v>
      </c>
      <c r="I258" s="41">
        <f t="shared" si="8"/>
        <v>1553454.15</v>
      </c>
      <c r="J258" s="41">
        <f t="shared" si="8"/>
        <v>556460.92000000004</v>
      </c>
      <c r="K258" s="41">
        <f t="shared" si="8"/>
        <v>50136.29</v>
      </c>
      <c r="L258" s="41">
        <f t="shared" si="8"/>
        <v>30376275.130000003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2095000</v>
      </c>
      <c r="L261" s="19">
        <f>SUM(F261:K261)</f>
        <v>2095000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456462</v>
      </c>
      <c r="L262" s="19">
        <f>SUM(F262:K262)</f>
        <v>456462</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106223.89</v>
      </c>
      <c r="L264" s="19">
        <f>SUM(F264:K264)</f>
        <v>106223.89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381429</v>
      </c>
      <c r="L267" s="19">
        <f t="shared" si="9"/>
        <v>381429</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3039114.89</v>
      </c>
      <c r="L271" s="41">
        <f t="shared" si="9"/>
        <v>3039114.89</v>
      </c>
      <c r="M271" s="8"/>
      <c r="N271" s="264"/>
    </row>
    <row r="272" spans="1:14" s="34" customFormat="1" ht="12.2" customHeight="1" thickTop="1" x14ac:dyDescent="0.2">
      <c r="A272" s="43" t="s">
        <v>464</v>
      </c>
      <c r="B272" s="40">
        <v>10</v>
      </c>
      <c r="C272" s="40">
        <v>18</v>
      </c>
      <c r="D272" s="39" t="s">
        <v>431</v>
      </c>
      <c r="E272" s="40"/>
      <c r="F272" s="42">
        <f t="shared" ref="F272:L272" si="11">F258+F271</f>
        <v>14404849.600000001</v>
      </c>
      <c r="G272" s="42">
        <f t="shared" si="11"/>
        <v>9953868.0600000005</v>
      </c>
      <c r="H272" s="42">
        <f t="shared" si="11"/>
        <v>3857506.1100000003</v>
      </c>
      <c r="I272" s="42">
        <f t="shared" si="11"/>
        <v>1553454.15</v>
      </c>
      <c r="J272" s="42">
        <f t="shared" si="11"/>
        <v>556460.92000000004</v>
      </c>
      <c r="K272" s="42">
        <f t="shared" si="11"/>
        <v>3089251.18</v>
      </c>
      <c r="L272" s="42">
        <f t="shared" si="11"/>
        <v>33415390.020000003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467423.03</v>
      </c>
      <c r="G277" s="18">
        <v>157010.48000000001</v>
      </c>
      <c r="H277" s="18">
        <v>273.63</v>
      </c>
      <c r="I277" s="18">
        <v>38413.480000000003</v>
      </c>
      <c r="J277" s="18">
        <v>23371.32</v>
      </c>
      <c r="K277" s="18"/>
      <c r="L277" s="19">
        <f>SUM(F277:K277)</f>
        <v>686491.94</v>
      </c>
      <c r="M277" s="8"/>
      <c r="N277" s="264"/>
    </row>
    <row r="278" spans="1:14" s="3" customFormat="1" ht="12.2" customHeight="1" x14ac:dyDescent="0.15">
      <c r="A278" s="1" t="s">
        <v>439</v>
      </c>
      <c r="B278" s="2" t="s">
        <v>357</v>
      </c>
      <c r="C278" s="2" t="s">
        <v>291</v>
      </c>
      <c r="D278" s="2" t="s">
        <v>431</v>
      </c>
      <c r="E278" s="6">
        <v>1200</v>
      </c>
      <c r="F278" s="18">
        <v>28462.2</v>
      </c>
      <c r="G278" s="18">
        <v>12932.35</v>
      </c>
      <c r="H278" s="18">
        <v>14830.06</v>
      </c>
      <c r="I278" s="18">
        <v>7814.52</v>
      </c>
      <c r="J278" s="18">
        <v>3003.09</v>
      </c>
      <c r="K278" s="18"/>
      <c r="L278" s="19">
        <f>SUM(F278:K278)</f>
        <v>67042.22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229345.65</v>
      </c>
      <c r="G280" s="18">
        <v>14100.12</v>
      </c>
      <c r="H280" s="18">
        <v>1895.87</v>
      </c>
      <c r="I280" s="18">
        <v>14143.3</v>
      </c>
      <c r="J280" s="18">
        <v>6930.02</v>
      </c>
      <c r="K280" s="18"/>
      <c r="L280" s="19">
        <f>SUM(F280:K280)</f>
        <v>266414.95999999996</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22847.919999999998</v>
      </c>
      <c r="G282" s="18">
        <v>652.59</v>
      </c>
      <c r="H282" s="18">
        <v>97168.07</v>
      </c>
      <c r="I282" s="18"/>
      <c r="J282" s="18"/>
      <c r="K282" s="18"/>
      <c r="L282" s="19">
        <f t="shared" ref="L282:L288" si="12">SUM(F282:K282)</f>
        <v>120668.58</v>
      </c>
      <c r="M282" s="8"/>
      <c r="N282" s="264"/>
    </row>
    <row r="283" spans="1:14" s="3" customFormat="1" ht="12.2" customHeight="1" x14ac:dyDescent="0.15">
      <c r="A283" s="1" t="s">
        <v>443</v>
      </c>
      <c r="B283" s="2" t="s">
        <v>357</v>
      </c>
      <c r="C283" s="2" t="s">
        <v>295</v>
      </c>
      <c r="D283" s="2" t="s">
        <v>431</v>
      </c>
      <c r="E283" s="6">
        <v>2200</v>
      </c>
      <c r="F283" s="18">
        <v>39462.230000000003</v>
      </c>
      <c r="G283" s="18">
        <v>15862.41</v>
      </c>
      <c r="H283" s="18">
        <v>63859.35</v>
      </c>
      <c r="I283" s="18">
        <v>1886.05</v>
      </c>
      <c r="J283" s="18">
        <v>91634.91</v>
      </c>
      <c r="K283" s="18"/>
      <c r="L283" s="19">
        <f t="shared" si="12"/>
        <v>212704.95</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v>153.53</v>
      </c>
      <c r="I286" s="18"/>
      <c r="J286" s="18"/>
      <c r="K286" s="18"/>
      <c r="L286" s="19">
        <f t="shared" si="12"/>
        <v>153.53</v>
      </c>
      <c r="M286" s="8"/>
      <c r="N286" s="264"/>
    </row>
    <row r="287" spans="1:14" s="3" customFormat="1" ht="12.2" customHeight="1" x14ac:dyDescent="0.15">
      <c r="A287" s="1" t="s">
        <v>447</v>
      </c>
      <c r="B287" s="2" t="s">
        <v>357</v>
      </c>
      <c r="C287" s="2" t="s">
        <v>299</v>
      </c>
      <c r="D287" s="2" t="s">
        <v>431</v>
      </c>
      <c r="E287" s="6">
        <v>2600</v>
      </c>
      <c r="F287" s="18"/>
      <c r="G287" s="18"/>
      <c r="H287" s="18">
        <v>19432.810000000001</v>
      </c>
      <c r="I287" s="18">
        <v>49613.91</v>
      </c>
      <c r="J287" s="18">
        <v>15341.85</v>
      </c>
      <c r="K287" s="18"/>
      <c r="L287" s="19">
        <f t="shared" si="12"/>
        <v>84388.57</v>
      </c>
      <c r="M287" s="8"/>
      <c r="N287" s="264"/>
    </row>
    <row r="288" spans="1:14" s="3" customFormat="1" ht="12.2" customHeight="1" x14ac:dyDescent="0.15">
      <c r="A288" s="1" t="s">
        <v>448</v>
      </c>
      <c r="B288" s="2" t="s">
        <v>357</v>
      </c>
      <c r="C288" s="2" t="s">
        <v>300</v>
      </c>
      <c r="D288" s="2" t="s">
        <v>431</v>
      </c>
      <c r="E288" s="6">
        <v>2700</v>
      </c>
      <c r="F288" s="18">
        <v>6495.71</v>
      </c>
      <c r="G288" s="18"/>
      <c r="H288" s="18">
        <v>1591</v>
      </c>
      <c r="I288" s="18"/>
      <c r="J288" s="18"/>
      <c r="K288" s="18"/>
      <c r="L288" s="19">
        <f t="shared" si="12"/>
        <v>8086.71</v>
      </c>
      <c r="M288" s="8"/>
      <c r="N288" s="264"/>
    </row>
    <row r="289" spans="1:14" s="3" customFormat="1" ht="12.2" customHeight="1" x14ac:dyDescent="0.15">
      <c r="A289" s="1" t="s">
        <v>449</v>
      </c>
      <c r="B289" s="2" t="s">
        <v>357</v>
      </c>
      <c r="C289" s="2" t="s">
        <v>343</v>
      </c>
      <c r="D289" s="2" t="s">
        <v>431</v>
      </c>
      <c r="E289" s="6">
        <v>2800</v>
      </c>
      <c r="F289" s="18"/>
      <c r="G289" s="18"/>
      <c r="H289" s="18">
        <v>1093.23</v>
      </c>
      <c r="I289" s="18"/>
      <c r="J289" s="18"/>
      <c r="K289" s="18"/>
      <c r="L289" s="19">
        <f>SUM(F289:K289)</f>
        <v>1093.23</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794036.74</v>
      </c>
      <c r="G291" s="42">
        <f t="shared" si="13"/>
        <v>200557.95</v>
      </c>
      <c r="H291" s="42">
        <f t="shared" si="13"/>
        <v>200297.55000000002</v>
      </c>
      <c r="I291" s="42">
        <f t="shared" si="13"/>
        <v>111871.26000000001</v>
      </c>
      <c r="J291" s="42">
        <f t="shared" si="13"/>
        <v>140281.19</v>
      </c>
      <c r="K291" s="42">
        <f t="shared" si="13"/>
        <v>0</v>
      </c>
      <c r="L291" s="41">
        <f t="shared" si="13"/>
        <v>1447044.69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43973.01</v>
      </c>
      <c r="G296" s="18"/>
      <c r="H296" s="18">
        <v>105.14</v>
      </c>
      <c r="I296" s="18">
        <v>3342.39</v>
      </c>
      <c r="J296" s="18">
        <v>8980.23</v>
      </c>
      <c r="K296" s="18"/>
      <c r="L296" s="19">
        <f>SUM(F296:K296)</f>
        <v>56400.770000000004</v>
      </c>
      <c r="M296" s="8"/>
      <c r="N296" s="264"/>
    </row>
    <row r="297" spans="1:14" s="3" customFormat="1" ht="12.2" customHeight="1" x14ac:dyDescent="0.15">
      <c r="A297" s="1" t="s">
        <v>439</v>
      </c>
      <c r="B297" s="2" t="s">
        <v>358</v>
      </c>
      <c r="C297" s="2" t="s">
        <v>291</v>
      </c>
      <c r="D297" s="2" t="s">
        <v>431</v>
      </c>
      <c r="E297" s="6">
        <v>1200</v>
      </c>
      <c r="F297" s="18">
        <v>10936.36</v>
      </c>
      <c r="G297" s="18">
        <v>4969.1499999999996</v>
      </c>
      <c r="H297" s="18">
        <v>3536.91</v>
      </c>
      <c r="I297" s="18">
        <v>3002.66</v>
      </c>
      <c r="J297" s="18">
        <v>1153.9100000000001</v>
      </c>
      <c r="K297" s="18"/>
      <c r="L297" s="19">
        <f>SUM(F297:K297)</f>
        <v>23598.989999999998</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v>5417.86</v>
      </c>
      <c r="H299" s="18">
        <v>728.47</v>
      </c>
      <c r="I299" s="18">
        <v>5434.44</v>
      </c>
      <c r="J299" s="18">
        <v>2662.8</v>
      </c>
      <c r="K299" s="18"/>
      <c r="L299" s="19">
        <f>SUM(F299:K299)</f>
        <v>14243.57</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5875.82</v>
      </c>
      <c r="G301" s="18">
        <v>250.75</v>
      </c>
      <c r="H301" s="18">
        <v>36581.980000000003</v>
      </c>
      <c r="I301" s="18"/>
      <c r="J301" s="18"/>
      <c r="K301" s="18"/>
      <c r="L301" s="19">
        <f t="shared" ref="L301:L307" si="14">SUM(F301:K301)</f>
        <v>42708.55</v>
      </c>
      <c r="M301" s="8"/>
      <c r="N301" s="264"/>
    </row>
    <row r="302" spans="1:14" s="3" customFormat="1" ht="12.2" customHeight="1" x14ac:dyDescent="0.15">
      <c r="A302" s="1" t="s">
        <v>443</v>
      </c>
      <c r="B302" s="2" t="s">
        <v>358</v>
      </c>
      <c r="C302" s="2" t="s">
        <v>295</v>
      </c>
      <c r="D302" s="2" t="s">
        <v>431</v>
      </c>
      <c r="E302" s="6">
        <v>2200</v>
      </c>
      <c r="F302" s="18">
        <v>15163.03</v>
      </c>
      <c r="G302" s="18">
        <v>6095</v>
      </c>
      <c r="H302" s="18">
        <v>23461.55</v>
      </c>
      <c r="I302" s="18">
        <v>724.7</v>
      </c>
      <c r="J302" s="18">
        <v>35209.93</v>
      </c>
      <c r="K302" s="18"/>
      <c r="L302" s="19">
        <f t="shared" si="14"/>
        <v>80654.209999999992</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v>58.99</v>
      </c>
      <c r="I305" s="18"/>
      <c r="J305" s="18"/>
      <c r="K305" s="18"/>
      <c r="L305" s="19">
        <f t="shared" si="14"/>
        <v>58.99</v>
      </c>
      <c r="M305" s="8"/>
      <c r="N305" s="264"/>
    </row>
    <row r="306" spans="1:14" s="3" customFormat="1" ht="12.2" customHeight="1" x14ac:dyDescent="0.15">
      <c r="A306" s="1" t="s">
        <v>447</v>
      </c>
      <c r="B306" s="2" t="s">
        <v>358</v>
      </c>
      <c r="C306" s="2" t="s">
        <v>299</v>
      </c>
      <c r="D306" s="2" t="s">
        <v>431</v>
      </c>
      <c r="E306" s="6">
        <v>2600</v>
      </c>
      <c r="F306" s="18"/>
      <c r="G306" s="18"/>
      <c r="H306" s="18">
        <v>7466.88</v>
      </c>
      <c r="I306" s="18">
        <v>19063.72</v>
      </c>
      <c r="J306" s="18">
        <v>5894.98</v>
      </c>
      <c r="K306" s="18"/>
      <c r="L306" s="19">
        <f t="shared" si="14"/>
        <v>32425.58</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v>420.05</v>
      </c>
      <c r="I308" s="18"/>
      <c r="J308" s="18"/>
      <c r="K308" s="18"/>
      <c r="L308" s="19">
        <f>SUM(F308:K308)</f>
        <v>420.05</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75948.22</v>
      </c>
      <c r="G310" s="42">
        <f t="shared" si="15"/>
        <v>16732.759999999998</v>
      </c>
      <c r="H310" s="42">
        <f t="shared" si="15"/>
        <v>72359.97</v>
      </c>
      <c r="I310" s="42">
        <f t="shared" si="15"/>
        <v>31567.91</v>
      </c>
      <c r="J310" s="42">
        <f t="shared" si="15"/>
        <v>53901.849999999991</v>
      </c>
      <c r="K310" s="42">
        <f t="shared" si="15"/>
        <v>0</v>
      </c>
      <c r="L310" s="41">
        <f t="shared" si="15"/>
        <v>250510.70999999996</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191481.81</v>
      </c>
      <c r="G315" s="18">
        <v>52302.29</v>
      </c>
      <c r="H315" s="18">
        <v>321.23</v>
      </c>
      <c r="I315" s="18">
        <v>10211.86</v>
      </c>
      <c r="J315" s="18">
        <v>27436.94</v>
      </c>
      <c r="K315" s="18"/>
      <c r="L315" s="19">
        <f>SUM(F315:K315)</f>
        <v>281754.13</v>
      </c>
      <c r="M315" s="8"/>
      <c r="N315" s="264"/>
    </row>
    <row r="316" spans="1:14" s="3" customFormat="1" ht="12.2" customHeight="1" x14ac:dyDescent="0.15">
      <c r="A316" s="1" t="s">
        <v>439</v>
      </c>
      <c r="B316" s="2" t="s">
        <v>359</v>
      </c>
      <c r="C316" s="2" t="s">
        <v>291</v>
      </c>
      <c r="D316" s="2" t="s">
        <v>431</v>
      </c>
      <c r="E316" s="6">
        <v>1200</v>
      </c>
      <c r="F316" s="18">
        <v>33413.410000000003</v>
      </c>
      <c r="G316" s="18">
        <v>15182.03</v>
      </c>
      <c r="H316" s="18">
        <v>10806.18</v>
      </c>
      <c r="I316" s="18">
        <v>9173.91</v>
      </c>
      <c r="J316" s="18">
        <v>3525.5</v>
      </c>
      <c r="K316" s="18"/>
      <c r="L316" s="19">
        <f>SUM(F316:K316)</f>
        <v>72101.03</v>
      </c>
      <c r="M316" s="8"/>
      <c r="N316" s="264"/>
    </row>
    <row r="317" spans="1:14" s="3" customFormat="1" ht="12.2" customHeight="1" x14ac:dyDescent="0.15">
      <c r="A317" s="1" t="s">
        <v>440</v>
      </c>
      <c r="B317" s="2" t="s">
        <v>359</v>
      </c>
      <c r="C317" s="2" t="s">
        <v>292</v>
      </c>
      <c r="D317" s="2" t="s">
        <v>431</v>
      </c>
      <c r="E317" s="6">
        <v>1300</v>
      </c>
      <c r="F317" s="18">
        <v>8274.8700000000008</v>
      </c>
      <c r="G317" s="18">
        <v>1717.68</v>
      </c>
      <c r="H317" s="18">
        <v>11050</v>
      </c>
      <c r="I317" s="18">
        <v>15985.08</v>
      </c>
      <c r="J317" s="18">
        <v>103689.21</v>
      </c>
      <c r="K317" s="18"/>
      <c r="L317" s="19">
        <f>SUM(F317:K317)</f>
        <v>140716.84000000003</v>
      </c>
      <c r="M317" s="8"/>
      <c r="N317" s="264"/>
    </row>
    <row r="318" spans="1:14" s="3" customFormat="1" ht="12.2" customHeight="1" x14ac:dyDescent="0.15">
      <c r="A318" s="1" t="s">
        <v>441</v>
      </c>
      <c r="B318" s="2" t="s">
        <v>359</v>
      </c>
      <c r="C318" s="2" t="s">
        <v>293</v>
      </c>
      <c r="D318" s="2" t="s">
        <v>431</v>
      </c>
      <c r="E318" s="6">
        <v>1400</v>
      </c>
      <c r="F318" s="18"/>
      <c r="G318" s="18">
        <v>16552.95</v>
      </c>
      <c r="H318" s="18">
        <v>2225.66</v>
      </c>
      <c r="I318" s="18">
        <v>16603.64</v>
      </c>
      <c r="J318" s="18">
        <v>8135.55</v>
      </c>
      <c r="K318" s="18"/>
      <c r="L318" s="19">
        <f>SUM(F318:K318)</f>
        <v>43517.8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17952.169999999998</v>
      </c>
      <c r="G320" s="18">
        <v>766.11</v>
      </c>
      <c r="H320" s="18">
        <v>111767.44</v>
      </c>
      <c r="I320" s="18"/>
      <c r="J320" s="18"/>
      <c r="K320" s="18"/>
      <c r="L320" s="19">
        <f t="shared" ref="L320:L326" si="16">SUM(F320:K320)</f>
        <v>130485.72</v>
      </c>
      <c r="M320" s="8"/>
      <c r="N320" s="264"/>
    </row>
    <row r="321" spans="1:14" s="3" customFormat="1" ht="12.2" customHeight="1" x14ac:dyDescent="0.15">
      <c r="A321" s="1" t="s">
        <v>443</v>
      </c>
      <c r="B321" s="2" t="s">
        <v>359</v>
      </c>
      <c r="C321" s="2" t="s">
        <v>295</v>
      </c>
      <c r="D321" s="2" t="s">
        <v>431</v>
      </c>
      <c r="E321" s="6">
        <v>2200</v>
      </c>
      <c r="F321" s="18">
        <v>46326.99</v>
      </c>
      <c r="G321" s="18">
        <v>18621.79</v>
      </c>
      <c r="H321" s="18">
        <v>74431.09</v>
      </c>
      <c r="I321" s="18">
        <v>2214.14</v>
      </c>
      <c r="J321" s="18">
        <v>107575.49</v>
      </c>
      <c r="K321" s="18">
        <v>4593.16</v>
      </c>
      <c r="L321" s="19">
        <f t="shared" si="16"/>
        <v>253762.66</v>
      </c>
      <c r="M321" s="8"/>
      <c r="N321" s="264"/>
    </row>
    <row r="322" spans="1:14" s="3" customFormat="1" ht="12.2" customHeight="1" x14ac:dyDescent="0.15">
      <c r="A322" s="1" t="s">
        <v>444</v>
      </c>
      <c r="B322" s="2" t="s">
        <v>359</v>
      </c>
      <c r="C322" s="2" t="s">
        <v>296</v>
      </c>
      <c r="D322" s="2" t="s">
        <v>431</v>
      </c>
      <c r="E322" s="6">
        <v>2300</v>
      </c>
      <c r="F322" s="18"/>
      <c r="G322" s="18"/>
      <c r="H322" s="18"/>
      <c r="I322" s="18">
        <v>13603.08</v>
      </c>
      <c r="J322" s="18">
        <v>28854.75</v>
      </c>
      <c r="K322" s="18"/>
      <c r="L322" s="19">
        <f t="shared" si="16"/>
        <v>42457.83</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v>180.23</v>
      </c>
      <c r="I324" s="18"/>
      <c r="J324" s="18"/>
      <c r="K324" s="18"/>
      <c r="L324" s="19">
        <f t="shared" si="16"/>
        <v>180.23</v>
      </c>
      <c r="M324" s="8"/>
      <c r="N324" s="264"/>
    </row>
    <row r="325" spans="1:14" s="3" customFormat="1" ht="12.2" customHeight="1" x14ac:dyDescent="0.15">
      <c r="A325" s="1" t="s">
        <v>447</v>
      </c>
      <c r="B325" s="2" t="s">
        <v>359</v>
      </c>
      <c r="C325" s="2" t="s">
        <v>299</v>
      </c>
      <c r="D325" s="2" t="s">
        <v>431</v>
      </c>
      <c r="E325" s="6">
        <v>2600</v>
      </c>
      <c r="F325" s="18"/>
      <c r="G325" s="18"/>
      <c r="H325" s="18">
        <v>22813.279999999999</v>
      </c>
      <c r="I325" s="18">
        <v>58244.62</v>
      </c>
      <c r="J325" s="18">
        <v>18010.68</v>
      </c>
      <c r="K325" s="18"/>
      <c r="L325" s="19">
        <f t="shared" si="16"/>
        <v>99068.579999999987</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v>1283.4100000000001</v>
      </c>
      <c r="I327" s="18"/>
      <c r="J327" s="18"/>
      <c r="K327" s="18"/>
      <c r="L327" s="19">
        <f>SUM(F327:K327)</f>
        <v>1283.4100000000001</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297449.25</v>
      </c>
      <c r="G329" s="42">
        <f t="shared" si="17"/>
        <v>105142.85</v>
      </c>
      <c r="H329" s="42">
        <f t="shared" si="17"/>
        <v>234878.52000000002</v>
      </c>
      <c r="I329" s="42">
        <f t="shared" si="17"/>
        <v>126036.32999999999</v>
      </c>
      <c r="J329" s="42">
        <f t="shared" si="17"/>
        <v>297228.12</v>
      </c>
      <c r="K329" s="42">
        <f t="shared" si="17"/>
        <v>4593.16</v>
      </c>
      <c r="L329" s="41">
        <f t="shared" si="17"/>
        <v>1065328.23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1167434.21</v>
      </c>
      <c r="G339" s="41">
        <f t="shared" si="20"/>
        <v>322433.56000000006</v>
      </c>
      <c r="H339" s="41">
        <f t="shared" si="20"/>
        <v>507536.04000000004</v>
      </c>
      <c r="I339" s="41">
        <f t="shared" si="20"/>
        <v>269475.5</v>
      </c>
      <c r="J339" s="41">
        <f t="shared" si="20"/>
        <v>491411.16</v>
      </c>
      <c r="K339" s="41">
        <f t="shared" si="20"/>
        <v>4593.16</v>
      </c>
      <c r="L339" s="41">
        <f t="shared" si="20"/>
        <v>2762883.63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1167434.21</v>
      </c>
      <c r="G353" s="41">
        <f>G339</f>
        <v>322433.56000000006</v>
      </c>
      <c r="H353" s="41">
        <f>H339</f>
        <v>507536.04000000004</v>
      </c>
      <c r="I353" s="41">
        <f>I339</f>
        <v>269475.5</v>
      </c>
      <c r="J353" s="41">
        <f>J339</f>
        <v>491411.16</v>
      </c>
      <c r="K353" s="47">
        <f>K339+K352</f>
        <v>4593.16</v>
      </c>
      <c r="L353" s="41">
        <f>L339+L352</f>
        <v>2762883.63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3825.95</v>
      </c>
      <c r="G359" s="18">
        <v>720.31</v>
      </c>
      <c r="H359" s="18">
        <v>253239.43</v>
      </c>
      <c r="I359" s="18">
        <v>207.92</v>
      </c>
      <c r="J359" s="18"/>
      <c r="K359" s="18"/>
      <c r="L359" s="13">
        <f>SUM(F359:K359)</f>
        <v>257993.61000000002</v>
      </c>
      <c r="M359" s="8"/>
      <c r="N359" s="264"/>
    </row>
    <row r="360" spans="1:22" s="3" customFormat="1" ht="12.2" customHeight="1" x14ac:dyDescent="0.15">
      <c r="A360" s="1" t="s">
        <v>542</v>
      </c>
      <c r="B360" s="2" t="s">
        <v>366</v>
      </c>
      <c r="C360" s="6">
        <v>2</v>
      </c>
      <c r="D360" s="2" t="s">
        <v>431</v>
      </c>
      <c r="E360" s="6"/>
      <c r="F360" s="18">
        <v>1470.09</v>
      </c>
      <c r="G360" s="18">
        <v>276.77</v>
      </c>
      <c r="H360" s="18">
        <v>97305.1</v>
      </c>
      <c r="I360" s="18">
        <v>79.89</v>
      </c>
      <c r="J360" s="18"/>
      <c r="K360" s="18"/>
      <c r="L360" s="19">
        <f>SUM(F360:K360)</f>
        <v>99131.85</v>
      </c>
      <c r="M360" s="8"/>
      <c r="N360" s="264"/>
    </row>
    <row r="361" spans="1:22" s="3" customFormat="1" ht="12.2" customHeight="1" x14ac:dyDescent="0.15">
      <c r="A361" s="3" t="s">
        <v>543</v>
      </c>
      <c r="B361" s="2" t="s">
        <v>366</v>
      </c>
      <c r="C361" s="6">
        <v>3</v>
      </c>
      <c r="D361" s="2" t="s">
        <v>431</v>
      </c>
      <c r="E361" s="6"/>
      <c r="F361" s="18">
        <v>4491.5</v>
      </c>
      <c r="G361" s="18">
        <v>845.61</v>
      </c>
      <c r="H361" s="18">
        <v>297292.34000000003</v>
      </c>
      <c r="I361" s="18">
        <v>244.08</v>
      </c>
      <c r="J361" s="18"/>
      <c r="K361" s="18"/>
      <c r="L361" s="19">
        <f>SUM(F361:K361)</f>
        <v>302873.53000000003</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9787.5400000000009</v>
      </c>
      <c r="G363" s="47">
        <f t="shared" si="22"/>
        <v>1842.69</v>
      </c>
      <c r="H363" s="47">
        <f t="shared" si="22"/>
        <v>647836.87000000011</v>
      </c>
      <c r="I363" s="47">
        <f t="shared" si="22"/>
        <v>531.89</v>
      </c>
      <c r="J363" s="47">
        <f t="shared" si="22"/>
        <v>0</v>
      </c>
      <c r="K363" s="47">
        <f t="shared" si="22"/>
        <v>0</v>
      </c>
      <c r="L363" s="47">
        <f t="shared" si="22"/>
        <v>659998.99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207.92</v>
      </c>
      <c r="G369" s="63">
        <v>79.89</v>
      </c>
      <c r="H369" s="63">
        <v>244.08</v>
      </c>
      <c r="I369" s="56">
        <f>SUM(F369:H369)</f>
        <v>531.89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207.92</v>
      </c>
      <c r="G370" s="47">
        <f>SUM(G368:G369)</f>
        <v>79.89</v>
      </c>
      <c r="H370" s="47">
        <f>SUM(H368:H369)</f>
        <v>244.08</v>
      </c>
      <c r="I370" s="47">
        <f>SUM(I368:I369)</f>
        <v>531.89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v>40040</v>
      </c>
      <c r="L381" s="13">
        <f t="shared" si="23"/>
        <v>40040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40040</v>
      </c>
      <c r="L383" s="47">
        <f t="shared" si="24"/>
        <v>40040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v>250000</v>
      </c>
      <c r="H391" s="18">
        <v>306.83999999999997</v>
      </c>
      <c r="I391" s="18"/>
      <c r="J391" s="24" t="s">
        <v>288</v>
      </c>
      <c r="K391" s="24" t="s">
        <v>288</v>
      </c>
      <c r="L391" s="56">
        <f t="shared" si="25"/>
        <v>250306.84</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0</v>
      </c>
      <c r="H393" s="18">
        <v>70.31</v>
      </c>
      <c r="I393" s="18"/>
      <c r="J393" s="24" t="s">
        <v>288</v>
      </c>
      <c r="K393" s="24" t="s">
        <v>288</v>
      </c>
      <c r="L393" s="56">
        <f t="shared" si="25"/>
        <v>70.31</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250000</v>
      </c>
      <c r="H394" s="139">
        <f>SUM(H388:H393)</f>
        <v>377.15</v>
      </c>
      <c r="I394" s="65">
        <f>SUM(I388:I393)</f>
        <v>0</v>
      </c>
      <c r="J394" s="45" t="s">
        <v>288</v>
      </c>
      <c r="K394" s="45" t="s">
        <v>288</v>
      </c>
      <c r="L394" s="47">
        <f>SUM(L388:L393)</f>
        <v>250377.15</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131429</v>
      </c>
      <c r="H397" s="18">
        <v>2360.7199999999998</v>
      </c>
      <c r="I397" s="18"/>
      <c r="J397" s="24" t="s">
        <v>288</v>
      </c>
      <c r="K397" s="24" t="s">
        <v>288</v>
      </c>
      <c r="L397" s="56">
        <f t="shared" si="26"/>
        <v>133789.72</v>
      </c>
      <c r="M397" s="8"/>
      <c r="N397" s="264"/>
    </row>
    <row r="398" spans="1:14" s="3" customFormat="1" ht="12.2" customHeight="1" x14ac:dyDescent="0.15">
      <c r="A398" s="79" t="s">
        <v>515</v>
      </c>
      <c r="B398" s="2" t="s">
        <v>381</v>
      </c>
      <c r="C398" s="6">
        <v>10</v>
      </c>
      <c r="D398" s="2" t="s">
        <v>432</v>
      </c>
      <c r="E398" s="6"/>
      <c r="F398" s="18"/>
      <c r="G398" s="18">
        <v>0</v>
      </c>
      <c r="H398" s="18">
        <v>916.85</v>
      </c>
      <c r="I398" s="18"/>
      <c r="J398" s="24" t="s">
        <v>288</v>
      </c>
      <c r="K398" s="24" t="s">
        <v>288</v>
      </c>
      <c r="L398" s="56">
        <f t="shared" si="26"/>
        <v>916.85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131429</v>
      </c>
      <c r="H402" s="47">
        <f>SUM(H396:H401)</f>
        <v>3277.5699999999997</v>
      </c>
      <c r="I402" s="47">
        <f>SUM(I396:I401)</f>
        <v>0</v>
      </c>
      <c r="J402" s="45" t="s">
        <v>288</v>
      </c>
      <c r="K402" s="45" t="s">
        <v>288</v>
      </c>
      <c r="L402" s="47">
        <f>SUM(L396:L401)</f>
        <v>134706.57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v>0</v>
      </c>
      <c r="H404" s="18">
        <v>74.069999999999993</v>
      </c>
      <c r="I404" s="18"/>
      <c r="J404" s="24" t="s">
        <v>288</v>
      </c>
      <c r="K404" s="24" t="s">
        <v>288</v>
      </c>
      <c r="L404" s="56">
        <f>SUM(F404:K404)</f>
        <v>74.069999999999993</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74.069999999999993</v>
      </c>
      <c r="I408" s="47">
        <f>SUM(I404:I407)</f>
        <v>0</v>
      </c>
      <c r="J408" s="49" t="s">
        <v>288</v>
      </c>
      <c r="K408" s="49" t="s">
        <v>288</v>
      </c>
      <c r="L408" s="47">
        <f>SUM(L404:L407)</f>
        <v>74.069999999999993</v>
      </c>
      <c r="M408" s="8"/>
      <c r="N408" s="264"/>
    </row>
    <row r="409" spans="1:21" s="3" customFormat="1" ht="12.2" customHeight="1" thickTop="1" x14ac:dyDescent="0.15">
      <c r="A409" s="78" t="s">
        <v>421</v>
      </c>
      <c r="B409" s="2" t="s">
        <v>381</v>
      </c>
      <c r="C409" s="6">
        <v>20</v>
      </c>
      <c r="D409" s="6"/>
      <c r="E409" s="40"/>
      <c r="F409" s="47">
        <f>F394+F402+F408</f>
        <v>0</v>
      </c>
      <c r="G409" s="47">
        <f>G394+G402+G408</f>
        <v>381429</v>
      </c>
      <c r="H409" s="47">
        <f>H394+H402+H408</f>
        <v>3728.79</v>
      </c>
      <c r="I409" s="47">
        <f>I394+I402+I408</f>
        <v>0</v>
      </c>
      <c r="J409" s="24" t="s">
        <v>288</v>
      </c>
      <c r="K409" s="24" t="s">
        <v>288</v>
      </c>
      <c r="L409" s="47">
        <f>L394+L402+L408</f>
        <v>385157.79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v>113425.41</v>
      </c>
      <c r="L417" s="56">
        <f t="shared" si="27"/>
        <v>113425.41</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113425.41</v>
      </c>
      <c r="L420" s="47">
        <f t="shared" si="28"/>
        <v>113425.41</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39787.5</v>
      </c>
      <c r="L423" s="56">
        <f t="shared" si="29"/>
        <v>39787.5</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39787.5</v>
      </c>
      <c r="L428" s="47">
        <f t="shared" si="30"/>
        <v>39787.5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153212.91</v>
      </c>
      <c r="L435" s="47">
        <f t="shared" si="32"/>
        <v>153212.91</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216143.37</v>
      </c>
      <c r="G440" s="18">
        <v>1725782.2</v>
      </c>
      <c r="H440" s="18">
        <v>33811.32</v>
      </c>
      <c r="I440" s="56">
        <f t="shared" ref="I440:I446" si="33">SUM(F440:H440)</f>
        <v>1975736.89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216143.37</v>
      </c>
      <c r="G447" s="13">
        <f>SUM(G440:G446)</f>
        <v>1725782.2</v>
      </c>
      <c r="H447" s="13">
        <f>SUM(H440:H446)</f>
        <v>33811.32</v>
      </c>
      <c r="I447" s="13">
        <f>SUM(I440:I446)</f>
        <v>1975736.89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216143.37</v>
      </c>
      <c r="G460" s="18">
        <v>1725782.2</v>
      </c>
      <c r="H460" s="18">
        <v>33811.32</v>
      </c>
      <c r="I460" s="56">
        <f t="shared" si="34"/>
        <v>1975736.89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216143.37</v>
      </c>
      <c r="G461" s="83">
        <f>SUM(G455:G460)</f>
        <v>1725782.2</v>
      </c>
      <c r="H461" s="83">
        <f>SUM(H455:H460)</f>
        <v>33811.32</v>
      </c>
      <c r="I461" s="83">
        <f>SUM(I455:I460)</f>
        <v>1975736.89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216143.37</v>
      </c>
      <c r="G462" s="42">
        <f>G453+G461</f>
        <v>1725782.2</v>
      </c>
      <c r="H462" s="42">
        <f>H453+H461</f>
        <v>33811.32</v>
      </c>
      <c r="I462" s="42">
        <f>I453+I461</f>
        <v>1975736.89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2477513.41</v>
      </c>
      <c r="G466" s="18">
        <v>5094.22</v>
      </c>
      <c r="H466" s="18">
        <v>76257</v>
      </c>
      <c r="I466" s="18">
        <v>40040</v>
      </c>
      <c r="J466" s="18">
        <v>1743792.01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34567349.850000001</v>
      </c>
      <c r="G469" s="18">
        <v>659998.99</v>
      </c>
      <c r="H469" s="18">
        <v>2930747.9</v>
      </c>
      <c r="I469" s="18">
        <v>0</v>
      </c>
      <c r="J469" s="18">
        <v>385157.79</v>
      </c>
      <c r="K469" s="24" t="s">
        <v>288</v>
      </c>
      <c r="L469" s="24" t="s">
        <v>288</v>
      </c>
      <c r="N469" s="263"/>
    </row>
    <row r="470" spans="1:14" s="52" customFormat="1" ht="12.2" customHeight="1" x14ac:dyDescent="0.2">
      <c r="A470" s="93" t="s">
        <v>611</v>
      </c>
      <c r="B470" s="75">
        <v>19</v>
      </c>
      <c r="C470" s="80">
        <v>3</v>
      </c>
      <c r="D470" s="2" t="s">
        <v>432</v>
      </c>
      <c r="E470" s="80"/>
      <c r="F470" s="18"/>
      <c r="G470" s="18">
        <v>14688.98</v>
      </c>
      <c r="H470" s="18">
        <v>162932.87</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34567349.850000001</v>
      </c>
      <c r="G471" s="53">
        <f>SUM(G469:G470)</f>
        <v>674687.97</v>
      </c>
      <c r="H471" s="53">
        <f>SUM(H469:H470)</f>
        <v>3093680.77</v>
      </c>
      <c r="I471" s="53">
        <f>SUM(I469:I470)</f>
        <v>0</v>
      </c>
      <c r="J471" s="53">
        <f>SUM(J469:J470)</f>
        <v>385157.79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33415390.02</v>
      </c>
      <c r="G473" s="18">
        <v>659998.99</v>
      </c>
      <c r="H473" s="18">
        <v>2762883.63</v>
      </c>
      <c r="I473" s="18">
        <v>40040</v>
      </c>
      <c r="J473" s="18">
        <v>153212.91</v>
      </c>
      <c r="K473" s="24" t="s">
        <v>288</v>
      </c>
      <c r="L473" s="24" t="s">
        <v>288</v>
      </c>
      <c r="N473" s="263"/>
    </row>
    <row r="474" spans="1:14" s="52" customFormat="1" ht="12.2" customHeight="1" x14ac:dyDescent="0.2">
      <c r="A474" s="93" t="s">
        <v>613</v>
      </c>
      <c r="B474" s="75">
        <v>19</v>
      </c>
      <c r="C474" s="80">
        <v>6</v>
      </c>
      <c r="D474" s="2" t="s">
        <v>432</v>
      </c>
      <c r="E474" s="80"/>
      <c r="F474" s="18">
        <v>22916.59</v>
      </c>
      <c r="G474" s="18">
        <v>5094.22</v>
      </c>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33438306.609999999</v>
      </c>
      <c r="G475" s="53">
        <f>SUM(G473:G474)</f>
        <v>665093.21</v>
      </c>
      <c r="H475" s="53">
        <f>SUM(H473:H474)</f>
        <v>2762883.63</v>
      </c>
      <c r="I475" s="53">
        <f>SUM(I473:I474)</f>
        <v>40040</v>
      </c>
      <c r="J475" s="53">
        <f>SUM(J473:J474)</f>
        <v>153212.91</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3606556.650000006</v>
      </c>
      <c r="G477" s="53">
        <f>(G466+G471)- G475</f>
        <v>14688.979999999981</v>
      </c>
      <c r="H477" s="53">
        <f>(H466+H471)- H475</f>
        <v>407054.14000000013</v>
      </c>
      <c r="I477" s="53">
        <f>(I466+I471)- I475</f>
        <v>0</v>
      </c>
      <c r="J477" s="53">
        <f>(J466+J471)- J475</f>
        <v>1975736.89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20</v>
      </c>
      <c r="H491" s="154">
        <v>20</v>
      </c>
      <c r="I491" s="154">
        <v>20</v>
      </c>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t="s">
        <v>1672</v>
      </c>
      <c r="H492" s="154">
        <f>7/17</f>
        <v>0.41176470588235292</v>
      </c>
      <c r="I492" s="154">
        <f>6/18</f>
        <v>0.33333333333333331</v>
      </c>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v>812037</v>
      </c>
      <c r="I493" s="154">
        <v>812038</v>
      </c>
      <c r="J493" s="154"/>
      <c r="K493" s="24" t="s">
        <v>288</v>
      </c>
      <c r="L493" s="24" t="s">
        <v>288</v>
      </c>
      <c r="N493" s="263"/>
    </row>
    <row r="494" spans="1:14" s="52" customFormat="1" ht="12.2" customHeight="1" x14ac:dyDescent="0.2">
      <c r="A494" s="22" t="s">
        <v>617</v>
      </c>
      <c r="B494" s="75">
        <v>20</v>
      </c>
      <c r="C494" s="115">
        <v>4</v>
      </c>
      <c r="D494" s="2" t="s">
        <v>432</v>
      </c>
      <c r="E494" s="115"/>
      <c r="F494" s="18">
        <v>42120000</v>
      </c>
      <c r="G494" s="18">
        <v>1837000</v>
      </c>
      <c r="H494" s="18">
        <v>1871000</v>
      </c>
      <c r="I494" s="18">
        <v>1122900</v>
      </c>
      <c r="J494" s="18"/>
      <c r="K494" s="24" t="s">
        <v>288</v>
      </c>
      <c r="L494" s="24" t="s">
        <v>288</v>
      </c>
      <c r="N494" s="263"/>
    </row>
    <row r="495" spans="1:14" s="52" customFormat="1" ht="12.2" customHeight="1" x14ac:dyDescent="0.2">
      <c r="A495" s="22" t="s">
        <v>618</v>
      </c>
      <c r="B495" s="75">
        <v>20</v>
      </c>
      <c r="C495" s="115">
        <v>5</v>
      </c>
      <c r="D495" s="2" t="s">
        <v>432</v>
      </c>
      <c r="E495" s="115"/>
      <c r="F495" s="18">
        <v>4</v>
      </c>
      <c r="G495" s="18">
        <v>2.5</v>
      </c>
      <c r="H495" s="18">
        <v>2.66</v>
      </c>
      <c r="I495" s="18">
        <v>3.24</v>
      </c>
      <c r="J495" s="18"/>
      <c r="K495" s="24" t="s">
        <v>288</v>
      </c>
      <c r="L495" s="24" t="s">
        <v>288</v>
      </c>
      <c r="N495" s="263"/>
    </row>
    <row r="496" spans="1:14" s="52" customFormat="1" ht="12.2" customHeight="1" x14ac:dyDescent="0.2">
      <c r="A496" s="22" t="s">
        <v>619</v>
      </c>
      <c r="B496" s="75">
        <v>20</v>
      </c>
      <c r="C496" s="115">
        <v>6</v>
      </c>
      <c r="D496" s="2" t="s">
        <v>432</v>
      </c>
      <c r="E496" s="115"/>
      <c r="F496" s="18">
        <v>7365000</v>
      </c>
      <c r="G496" s="18">
        <v>1559300</v>
      </c>
      <c r="H496" s="18">
        <v>1685000</v>
      </c>
      <c r="I496" s="18">
        <v>1065000</v>
      </c>
      <c r="J496" s="18"/>
      <c r="K496" s="53">
        <f>SUM(F496:J496)</f>
        <v>11674300</v>
      </c>
      <c r="L496" s="24" t="s">
        <v>288</v>
      </c>
      <c r="N496" s="263"/>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1845000</v>
      </c>
      <c r="G498" s="18">
        <v>95000</v>
      </c>
      <c r="H498" s="18">
        <v>95000</v>
      </c>
      <c r="I498" s="18">
        <v>60000</v>
      </c>
      <c r="J498" s="18"/>
      <c r="K498" s="53">
        <f t="shared" si="35"/>
        <v>2095000</v>
      </c>
      <c r="L498" s="24" t="s">
        <v>288</v>
      </c>
      <c r="N498" s="263"/>
    </row>
    <row r="499" spans="1:14" s="52" customFormat="1" ht="12.2" customHeight="1" x14ac:dyDescent="0.2">
      <c r="A499" s="200" t="s">
        <v>622</v>
      </c>
      <c r="B499" s="201">
        <v>20</v>
      </c>
      <c r="C499" s="202">
        <v>9</v>
      </c>
      <c r="D499" s="203" t="s">
        <v>432</v>
      </c>
      <c r="E499" s="202"/>
      <c r="F499" s="204">
        <v>5520000</v>
      </c>
      <c r="G499" s="204">
        <v>1464300</v>
      </c>
      <c r="H499" s="204">
        <v>1590000</v>
      </c>
      <c r="I499" s="204">
        <v>1005000</v>
      </c>
      <c r="J499" s="204"/>
      <c r="K499" s="205">
        <f t="shared" si="35"/>
        <v>9579300</v>
      </c>
      <c r="L499" s="206" t="s">
        <v>288</v>
      </c>
      <c r="N499" s="263"/>
    </row>
    <row r="500" spans="1:14" s="52" customFormat="1" ht="12.2" customHeight="1" thickBot="1" x14ac:dyDescent="0.25">
      <c r="A500" s="22" t="s">
        <v>623</v>
      </c>
      <c r="B500" s="75">
        <v>20</v>
      </c>
      <c r="C500" s="115">
        <v>10</v>
      </c>
      <c r="D500" s="2" t="s">
        <v>432</v>
      </c>
      <c r="E500" s="115"/>
      <c r="F500" s="18">
        <v>371274</v>
      </c>
      <c r="G500" s="18">
        <v>376447.75</v>
      </c>
      <c r="H500" s="18">
        <v>513115</v>
      </c>
      <c r="I500" s="18">
        <v>348342.04</v>
      </c>
      <c r="J500" s="18"/>
      <c r="K500" s="53">
        <f t="shared" si="35"/>
        <v>1609178.79</v>
      </c>
      <c r="L500" s="24" t="s">
        <v>288</v>
      </c>
      <c r="N500" s="263"/>
    </row>
    <row r="501" spans="1:14" s="52" customFormat="1" ht="12.2" customHeight="1" thickTop="1" x14ac:dyDescent="0.2">
      <c r="A501" s="139" t="s">
        <v>624</v>
      </c>
      <c r="B501" s="44">
        <v>20</v>
      </c>
      <c r="C501" s="195">
        <v>11</v>
      </c>
      <c r="D501" s="39" t="s">
        <v>432</v>
      </c>
      <c r="E501" s="195"/>
      <c r="F501" s="42">
        <f>SUM(F499:F500)</f>
        <v>5891274</v>
      </c>
      <c r="G501" s="42">
        <f>SUM(G499:G500)</f>
        <v>1840747.75</v>
      </c>
      <c r="H501" s="42">
        <f>SUM(H499:H500)</f>
        <v>2103115</v>
      </c>
      <c r="I501" s="42">
        <f>SUM(I499:I500)</f>
        <v>1353342.04</v>
      </c>
      <c r="J501" s="42">
        <f>SUM(J499:J500)</f>
        <v>0</v>
      </c>
      <c r="K501" s="42">
        <f t="shared" si="35"/>
        <v>11188478.789999999</v>
      </c>
      <c r="L501" s="45" t="s">
        <v>288</v>
      </c>
      <c r="N501" s="263"/>
    </row>
    <row r="502" spans="1:14" s="52" customFormat="1" ht="12.2" customHeight="1" x14ac:dyDescent="0.2">
      <c r="A502" s="200" t="s">
        <v>651</v>
      </c>
      <c r="B502" s="201">
        <v>20</v>
      </c>
      <c r="C502" s="202">
        <v>12</v>
      </c>
      <c r="D502" s="203" t="s">
        <v>432</v>
      </c>
      <c r="E502" s="202"/>
      <c r="F502" s="204">
        <v>1840000</v>
      </c>
      <c r="G502" s="204">
        <v>95000</v>
      </c>
      <c r="H502" s="204">
        <v>95000</v>
      </c>
      <c r="I502" s="204">
        <v>60000</v>
      </c>
      <c r="J502" s="204"/>
      <c r="K502" s="205">
        <f t="shared" si="35"/>
        <v>2090000</v>
      </c>
      <c r="L502" s="206" t="s">
        <v>288</v>
      </c>
      <c r="N502" s="263"/>
    </row>
    <row r="503" spans="1:14" s="52" customFormat="1" ht="12.2" customHeight="1" thickBot="1" x14ac:dyDescent="0.25">
      <c r="A503" s="22" t="s">
        <v>625</v>
      </c>
      <c r="B503" s="75">
        <v>20</v>
      </c>
      <c r="C503" s="115">
        <v>13</v>
      </c>
      <c r="D503" s="2" t="s">
        <v>432</v>
      </c>
      <c r="E503" s="115"/>
      <c r="F503" s="18">
        <v>205187</v>
      </c>
      <c r="G503" s="18">
        <v>50471</v>
      </c>
      <c r="H503" s="18">
        <v>65867.5</v>
      </c>
      <c r="I503" s="18">
        <v>41543.760000000002</v>
      </c>
      <c r="J503" s="18"/>
      <c r="K503" s="53">
        <f t="shared" si="35"/>
        <v>363069.26</v>
      </c>
      <c r="L503" s="24" t="s">
        <v>288</v>
      </c>
      <c r="N503" s="263"/>
    </row>
    <row r="504" spans="1:14" s="52" customFormat="1" ht="12.2" customHeight="1" thickTop="1" x14ac:dyDescent="0.2">
      <c r="A504" s="139" t="s">
        <v>626</v>
      </c>
      <c r="B504" s="44">
        <v>20</v>
      </c>
      <c r="C504" s="195">
        <v>14</v>
      </c>
      <c r="D504" s="39" t="s">
        <v>432</v>
      </c>
      <c r="E504" s="195"/>
      <c r="F504" s="42">
        <f>SUM(F502:F503)</f>
        <v>2045187</v>
      </c>
      <c r="G504" s="42">
        <f>SUM(G502:G503)</f>
        <v>145471</v>
      </c>
      <c r="H504" s="42">
        <f>SUM(H502:H503)</f>
        <v>160867.5</v>
      </c>
      <c r="I504" s="42">
        <f>SUM(I502:I503)</f>
        <v>101543.76000000001</v>
      </c>
      <c r="J504" s="42">
        <f>SUM(J502:J503)</f>
        <v>0</v>
      </c>
      <c r="K504" s="42">
        <f t="shared" si="35"/>
        <v>2453069.2599999998</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1288410.5900000001</v>
      </c>
      <c r="G522" s="18">
        <v>937457.66</v>
      </c>
      <c r="H522" s="18">
        <v>237242.13</v>
      </c>
      <c r="I522" s="18">
        <v>8791.24</v>
      </c>
      <c r="J522" s="18"/>
      <c r="K522" s="18"/>
      <c r="L522" s="88">
        <f>SUM(F522:K522)</f>
        <v>2471901.62</v>
      </c>
      <c r="N522" s="263"/>
    </row>
    <row r="523" spans="1:14" s="52" customFormat="1" ht="12.2" customHeight="1" x14ac:dyDescent="0.2">
      <c r="A523" s="22" t="s">
        <v>634</v>
      </c>
      <c r="B523" s="105">
        <v>21</v>
      </c>
      <c r="C523" s="115">
        <v>2</v>
      </c>
      <c r="D523" s="2" t="s">
        <v>432</v>
      </c>
      <c r="E523" s="115"/>
      <c r="F523" s="18">
        <v>483072.22</v>
      </c>
      <c r="G523" s="18">
        <v>302187.74</v>
      </c>
      <c r="H523" s="18">
        <v>198549.14</v>
      </c>
      <c r="I523" s="18">
        <v>9245.36</v>
      </c>
      <c r="J523" s="18">
        <v>1153.9100000000001</v>
      </c>
      <c r="K523" s="18"/>
      <c r="L523" s="88">
        <f>SUM(F523:K523)</f>
        <v>994208.37</v>
      </c>
      <c r="N523" s="263"/>
    </row>
    <row r="524" spans="1:14" s="52" customFormat="1" ht="12.2" customHeight="1" thickBot="1" x14ac:dyDescent="0.25">
      <c r="A524" s="22" t="s">
        <v>635</v>
      </c>
      <c r="B524" s="105">
        <v>21</v>
      </c>
      <c r="C524" s="115">
        <v>3</v>
      </c>
      <c r="D524" s="2" t="s">
        <v>432</v>
      </c>
      <c r="E524" s="115"/>
      <c r="F524" s="18">
        <v>654060.66</v>
      </c>
      <c r="G524" s="18">
        <v>395768.04</v>
      </c>
      <c r="H524" s="18">
        <v>209935.1</v>
      </c>
      <c r="I524" s="18">
        <v>14670.25</v>
      </c>
      <c r="J524" s="18">
        <v>5732.38</v>
      </c>
      <c r="K524" s="18"/>
      <c r="L524" s="88">
        <f>SUM(F524:K524)</f>
        <v>1280166.43</v>
      </c>
      <c r="N524" s="263"/>
    </row>
    <row r="525" spans="1:14" s="52" customFormat="1" ht="12.2" customHeight="1" thickTop="1" x14ac:dyDescent="0.2">
      <c r="A525" s="139" t="s">
        <v>63</v>
      </c>
      <c r="B525" s="107">
        <v>21</v>
      </c>
      <c r="C525" s="195">
        <v>4</v>
      </c>
      <c r="D525" s="196" t="s">
        <v>432</v>
      </c>
      <c r="E525" s="195"/>
      <c r="F525" s="108">
        <f>SUM(F522:F524)</f>
        <v>2425543.4700000002</v>
      </c>
      <c r="G525" s="108">
        <f t="shared" ref="G525:L525" si="36">SUM(G522:G524)</f>
        <v>1635413.44</v>
      </c>
      <c r="H525" s="108">
        <f t="shared" si="36"/>
        <v>645726.37</v>
      </c>
      <c r="I525" s="108">
        <f t="shared" si="36"/>
        <v>32706.85</v>
      </c>
      <c r="J525" s="108">
        <f t="shared" si="36"/>
        <v>6886.29</v>
      </c>
      <c r="K525" s="108">
        <f t="shared" si="36"/>
        <v>0</v>
      </c>
      <c r="L525" s="89">
        <f t="shared" si="36"/>
        <v>4746276.42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107309.07</v>
      </c>
      <c r="G527" s="18">
        <v>132407.32999999999</v>
      </c>
      <c r="H527" s="18">
        <v>232870.03</v>
      </c>
      <c r="I527" s="18">
        <v>647.48</v>
      </c>
      <c r="J527" s="18"/>
      <c r="K527" s="18"/>
      <c r="L527" s="88">
        <f>SUM(F527:K527)</f>
        <v>473233.91</v>
      </c>
      <c r="M527" s="8"/>
      <c r="N527" s="264"/>
    </row>
    <row r="528" spans="1:14" s="3" customFormat="1" ht="12.2" customHeight="1" x14ac:dyDescent="0.15">
      <c r="A528" s="22" t="s">
        <v>634</v>
      </c>
      <c r="B528" s="105">
        <v>21</v>
      </c>
      <c r="C528" s="115">
        <v>6</v>
      </c>
      <c r="D528" s="2" t="s">
        <v>432</v>
      </c>
      <c r="E528" s="115"/>
      <c r="F528" s="18">
        <v>16525.009999999998</v>
      </c>
      <c r="G528" s="18">
        <v>9353.36</v>
      </c>
      <c r="H528" s="18">
        <v>35483.18</v>
      </c>
      <c r="I528" s="18"/>
      <c r="J528" s="18"/>
      <c r="K528" s="18"/>
      <c r="L528" s="88">
        <f>SUM(F528:K528)</f>
        <v>61361.55</v>
      </c>
      <c r="M528" s="8"/>
      <c r="N528" s="264"/>
    </row>
    <row r="529" spans="1:14" s="3" customFormat="1" ht="12.2" customHeight="1" thickBot="1" x14ac:dyDescent="0.2">
      <c r="A529" s="22" t="s">
        <v>635</v>
      </c>
      <c r="B529" s="118">
        <v>21</v>
      </c>
      <c r="C529" s="118">
        <v>7</v>
      </c>
      <c r="D529" s="2" t="s">
        <v>432</v>
      </c>
      <c r="E529" s="118"/>
      <c r="F529" s="18">
        <v>51499.82</v>
      </c>
      <c r="G529" s="18">
        <v>29039.85</v>
      </c>
      <c r="H529" s="18">
        <v>115112.95</v>
      </c>
      <c r="I529" s="18">
        <v>289.58999999999997</v>
      </c>
      <c r="J529" s="18"/>
      <c r="K529" s="18"/>
      <c r="L529" s="88">
        <f>SUM(F529:K529)</f>
        <v>195942.21</v>
      </c>
      <c r="M529" s="8"/>
      <c r="N529" s="264"/>
    </row>
    <row r="530" spans="1:14" s="3" customFormat="1" ht="12.2" customHeight="1" thickTop="1" x14ac:dyDescent="0.15">
      <c r="A530" s="139" t="s">
        <v>65</v>
      </c>
      <c r="B530" s="107">
        <v>21</v>
      </c>
      <c r="C530" s="107">
        <v>8</v>
      </c>
      <c r="D530" s="158" t="s">
        <v>432</v>
      </c>
      <c r="E530" s="107"/>
      <c r="F530" s="89">
        <f>SUM(F527:F529)</f>
        <v>175333.9</v>
      </c>
      <c r="G530" s="89">
        <f t="shared" ref="G530:L530" si="37">SUM(G527:G529)</f>
        <v>170800.54</v>
      </c>
      <c r="H530" s="89">
        <f t="shared" si="37"/>
        <v>383466.16000000003</v>
      </c>
      <c r="I530" s="89">
        <f t="shared" si="37"/>
        <v>937.06999999999994</v>
      </c>
      <c r="J530" s="89">
        <f t="shared" si="37"/>
        <v>0</v>
      </c>
      <c r="K530" s="89">
        <f t="shared" si="37"/>
        <v>0</v>
      </c>
      <c r="L530" s="89">
        <f t="shared" si="37"/>
        <v>730537.66999999993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77366.259999999995</v>
      </c>
      <c r="I532" s="18"/>
      <c r="J532" s="18"/>
      <c r="K532" s="18"/>
      <c r="L532" s="88">
        <f>SUM(F532:K532)</f>
        <v>77366.259999999995</v>
      </c>
      <c r="M532" s="8"/>
      <c r="N532" s="264"/>
    </row>
    <row r="533" spans="1:14" s="3" customFormat="1" ht="12.2" customHeight="1" x14ac:dyDescent="0.15">
      <c r="A533" s="22" t="s">
        <v>634</v>
      </c>
      <c r="B533" s="105">
        <v>21</v>
      </c>
      <c r="C533" s="105">
        <v>10</v>
      </c>
      <c r="D533" s="2" t="s">
        <v>432</v>
      </c>
      <c r="E533" s="105"/>
      <c r="F533" s="18"/>
      <c r="G533" s="18"/>
      <c r="H533" s="18">
        <v>29727.33</v>
      </c>
      <c r="I533" s="18"/>
      <c r="J533" s="18"/>
      <c r="K533" s="18"/>
      <c r="L533" s="88">
        <f>SUM(F533:K533)</f>
        <v>29727.33</v>
      </c>
      <c r="M533" s="8"/>
      <c r="N533" s="264"/>
    </row>
    <row r="534" spans="1:14" s="3" customFormat="1" ht="12.2" customHeight="1" thickBot="1" x14ac:dyDescent="0.2">
      <c r="A534" s="22" t="s">
        <v>635</v>
      </c>
      <c r="B534" s="105">
        <v>21</v>
      </c>
      <c r="C534" s="105">
        <v>11</v>
      </c>
      <c r="D534" s="2" t="s">
        <v>432</v>
      </c>
      <c r="E534" s="105"/>
      <c r="F534" s="18"/>
      <c r="G534" s="18"/>
      <c r="H534" s="18">
        <v>90824.7</v>
      </c>
      <c r="I534" s="18"/>
      <c r="J534" s="18"/>
      <c r="K534" s="18"/>
      <c r="L534" s="88">
        <f>SUM(F534:K534)</f>
        <v>90824.7</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197918.28999999998</v>
      </c>
      <c r="I535" s="89">
        <f t="shared" si="38"/>
        <v>0</v>
      </c>
      <c r="J535" s="89">
        <f t="shared" si="38"/>
        <v>0</v>
      </c>
      <c r="K535" s="89">
        <f t="shared" si="38"/>
        <v>0</v>
      </c>
      <c r="L535" s="89">
        <f t="shared" si="38"/>
        <v>197918.28999999998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43448.44</v>
      </c>
      <c r="G542" s="18">
        <v>20705.34</v>
      </c>
      <c r="H542" s="18">
        <v>19823.509999999998</v>
      </c>
      <c r="I542" s="18">
        <v>34466.19</v>
      </c>
      <c r="J542" s="18"/>
      <c r="K542" s="18"/>
      <c r="L542" s="88">
        <f>SUM(F542:K542)</f>
        <v>118443.48</v>
      </c>
      <c r="M542" s="8"/>
      <c r="N542" s="264"/>
    </row>
    <row r="543" spans="1:14" s="3" customFormat="1" ht="12.2" customHeight="1" x14ac:dyDescent="0.15">
      <c r="A543" s="22" t="s">
        <v>634</v>
      </c>
      <c r="B543" s="105">
        <v>21</v>
      </c>
      <c r="C543" s="105">
        <v>18</v>
      </c>
      <c r="D543" s="2" t="s">
        <v>432</v>
      </c>
      <c r="E543" s="105"/>
      <c r="F543" s="18"/>
      <c r="G543" s="18">
        <v>4</v>
      </c>
      <c r="H543" s="18">
        <v>5009.62</v>
      </c>
      <c r="I543" s="18">
        <v>9124.23</v>
      </c>
      <c r="J543" s="18"/>
      <c r="K543" s="18"/>
      <c r="L543" s="88">
        <f>SUM(F543:K543)</f>
        <v>14137.849999999999</v>
      </c>
      <c r="M543" s="8"/>
      <c r="N543" s="264"/>
    </row>
    <row r="544" spans="1:14" s="3" customFormat="1" ht="12.2" customHeight="1" thickBot="1" x14ac:dyDescent="0.2">
      <c r="A544" s="22" t="s">
        <v>635</v>
      </c>
      <c r="B544" s="105">
        <v>21</v>
      </c>
      <c r="C544" s="105">
        <v>19</v>
      </c>
      <c r="D544" s="2" t="s">
        <v>432</v>
      </c>
      <c r="E544" s="105"/>
      <c r="F544" s="18">
        <v>2433.9</v>
      </c>
      <c r="G544" s="18">
        <v>3624.28</v>
      </c>
      <c r="H544" s="18">
        <v>57895.69</v>
      </c>
      <c r="I544" s="18">
        <v>27876.89</v>
      </c>
      <c r="J544" s="18"/>
      <c r="K544" s="18"/>
      <c r="L544" s="88">
        <f>SUM(F544:K544)</f>
        <v>91830.760000000009</v>
      </c>
      <c r="M544" s="8"/>
      <c r="N544" s="264"/>
    </row>
    <row r="545" spans="1:14" s="3" customFormat="1" ht="12.2" customHeight="1" thickTop="1" thickBot="1" x14ac:dyDescent="0.2">
      <c r="A545" s="130" t="s">
        <v>71</v>
      </c>
      <c r="B545" s="191">
        <v>21</v>
      </c>
      <c r="C545" s="191">
        <v>20</v>
      </c>
      <c r="D545" s="192" t="s">
        <v>432</v>
      </c>
      <c r="E545" s="191"/>
      <c r="F545" s="193">
        <f>SUM(F542:F544)</f>
        <v>45882.340000000004</v>
      </c>
      <c r="G545" s="193">
        <f t="shared" ref="G545:L545" si="40">SUM(G542:G544)</f>
        <v>24333.62</v>
      </c>
      <c r="H545" s="193">
        <f t="shared" si="40"/>
        <v>82728.820000000007</v>
      </c>
      <c r="I545" s="193">
        <f t="shared" si="40"/>
        <v>71467.31</v>
      </c>
      <c r="J545" s="193">
        <f t="shared" si="40"/>
        <v>0</v>
      </c>
      <c r="K545" s="193">
        <f t="shared" si="40"/>
        <v>0</v>
      </c>
      <c r="L545" s="193">
        <f t="shared" si="40"/>
        <v>224412.09</v>
      </c>
      <c r="M545" s="8"/>
      <c r="N545" s="264"/>
    </row>
    <row r="546" spans="1:14" s="3" customFormat="1" ht="12.2" customHeight="1" thickTop="1" x14ac:dyDescent="0.15">
      <c r="A546" s="98" t="s">
        <v>72</v>
      </c>
      <c r="B546" s="107">
        <v>21</v>
      </c>
      <c r="C546" s="107">
        <v>21</v>
      </c>
      <c r="D546" s="158" t="s">
        <v>432</v>
      </c>
      <c r="E546" s="107"/>
      <c r="F546" s="89">
        <f>F525+F530+F535+F540+F545</f>
        <v>2646759.71</v>
      </c>
      <c r="G546" s="89">
        <f t="shared" ref="G546:L546" si="41">G525+G530+G535+G540+G545</f>
        <v>1830547.6</v>
      </c>
      <c r="H546" s="89">
        <f t="shared" si="41"/>
        <v>1309839.6400000001</v>
      </c>
      <c r="I546" s="89">
        <f t="shared" si="41"/>
        <v>105111.23</v>
      </c>
      <c r="J546" s="89">
        <f t="shared" si="41"/>
        <v>6886.29</v>
      </c>
      <c r="K546" s="89">
        <f t="shared" si="41"/>
        <v>0</v>
      </c>
      <c r="L546" s="89">
        <f t="shared" si="41"/>
        <v>5899144.4699999997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2471901.62</v>
      </c>
      <c r="G550" s="87">
        <f>L527</f>
        <v>473233.91</v>
      </c>
      <c r="H550" s="87">
        <f>L532</f>
        <v>77366.259999999995</v>
      </c>
      <c r="I550" s="87">
        <f>L537</f>
        <v>0</v>
      </c>
      <c r="J550" s="87">
        <f>L542</f>
        <v>118443.48</v>
      </c>
      <c r="K550" s="87">
        <f>SUM(F550:J550)</f>
        <v>3140945.27</v>
      </c>
      <c r="L550" s="24" t="s">
        <v>288</v>
      </c>
      <c r="M550" s="8"/>
      <c r="N550" s="264"/>
    </row>
    <row r="551" spans="1:14" s="3" customFormat="1" ht="12.2" customHeight="1" x14ac:dyDescent="0.15">
      <c r="A551" s="22" t="s">
        <v>634</v>
      </c>
      <c r="B551" s="75">
        <v>21</v>
      </c>
      <c r="C551" s="75">
        <v>23</v>
      </c>
      <c r="D551" s="2" t="s">
        <v>432</v>
      </c>
      <c r="E551" s="75"/>
      <c r="F551" s="87">
        <f>L523</f>
        <v>994208.37</v>
      </c>
      <c r="G551" s="87">
        <f>L528</f>
        <v>61361.55</v>
      </c>
      <c r="H551" s="87">
        <f>L533</f>
        <v>29727.33</v>
      </c>
      <c r="I551" s="87">
        <f>L538</f>
        <v>0</v>
      </c>
      <c r="J551" s="87">
        <f>L543</f>
        <v>14137.849999999999</v>
      </c>
      <c r="K551" s="87">
        <f>SUM(F551:J551)</f>
        <v>1099435.1000000001</v>
      </c>
      <c r="L551" s="24" t="s">
        <v>288</v>
      </c>
      <c r="M551" s="8"/>
      <c r="N551" s="264"/>
    </row>
    <row r="552" spans="1:14" s="3" customFormat="1" ht="12.2" customHeight="1" thickBot="1" x14ac:dyDescent="0.2">
      <c r="A552" s="22" t="s">
        <v>635</v>
      </c>
      <c r="B552" s="75">
        <v>21</v>
      </c>
      <c r="C552" s="75">
        <v>24</v>
      </c>
      <c r="D552" s="2" t="s">
        <v>432</v>
      </c>
      <c r="E552" s="75"/>
      <c r="F552" s="87">
        <f>L524</f>
        <v>1280166.43</v>
      </c>
      <c r="G552" s="87">
        <f>L529</f>
        <v>195942.21</v>
      </c>
      <c r="H552" s="87">
        <f>L534</f>
        <v>90824.7</v>
      </c>
      <c r="I552" s="87">
        <f>L539</f>
        <v>0</v>
      </c>
      <c r="J552" s="87">
        <f>L544</f>
        <v>91830.760000000009</v>
      </c>
      <c r="K552" s="87">
        <f>SUM(F552:J552)</f>
        <v>1658764.0999999999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4746276.42</v>
      </c>
      <c r="G553" s="89">
        <f t="shared" si="42"/>
        <v>730537.66999999993</v>
      </c>
      <c r="H553" s="89">
        <f t="shared" si="42"/>
        <v>197918.28999999998</v>
      </c>
      <c r="I553" s="89">
        <f t="shared" si="42"/>
        <v>0</v>
      </c>
      <c r="J553" s="89">
        <f t="shared" si="42"/>
        <v>224412.09</v>
      </c>
      <c r="K553" s="89">
        <f t="shared" si="42"/>
        <v>5899144.4699999997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163806.82999999999</v>
      </c>
      <c r="G583" s="18">
        <v>70075.13</v>
      </c>
      <c r="H583" s="18">
        <v>97860.52</v>
      </c>
      <c r="I583" s="87">
        <f t="shared" si="47"/>
        <v>331742.48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v>121191.34</v>
      </c>
      <c r="H584" s="18">
        <v>22288.95</v>
      </c>
      <c r="I584" s="87">
        <f t="shared" si="47"/>
        <v>143480.29</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185363.53</v>
      </c>
      <c r="I592" s="18">
        <v>66607.47</v>
      </c>
      <c r="J592" s="18">
        <v>203500.06</v>
      </c>
      <c r="K592" s="104">
        <f t="shared" ref="K592:K598" si="48">SUM(H592:J592)</f>
        <v>455471.06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117543.38</v>
      </c>
      <c r="I593" s="18">
        <v>14136.85</v>
      </c>
      <c r="J593" s="18">
        <v>88570.86</v>
      </c>
      <c r="K593" s="104">
        <f t="shared" si="48"/>
        <v>220251.09000000003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5524.27</v>
      </c>
      <c r="J595" s="18">
        <v>37278.28</v>
      </c>
      <c r="K595" s="104">
        <f t="shared" si="48"/>
        <v>42802.55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352.04</v>
      </c>
      <c r="I596" s="18">
        <v>184.2</v>
      </c>
      <c r="J596" s="18">
        <v>2304.3000000000002</v>
      </c>
      <c r="K596" s="104">
        <f t="shared" si="48"/>
        <v>2840.54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13012.57</v>
      </c>
      <c r="I598" s="18"/>
      <c r="J598" s="18"/>
      <c r="K598" s="104">
        <f t="shared" si="48"/>
        <v>13012.57</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316271.52</v>
      </c>
      <c r="I599" s="108">
        <f>SUM(I592:I598)</f>
        <v>86452.790000000008</v>
      </c>
      <c r="J599" s="108">
        <f>SUM(J592:J598)</f>
        <v>331653.49999999994</v>
      </c>
      <c r="K599" s="108">
        <f>SUM(K592:K598)</f>
        <v>734377.81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342056.06</v>
      </c>
      <c r="I605" s="18">
        <v>160737.74</v>
      </c>
      <c r="J605" s="18">
        <v>545078.28</v>
      </c>
      <c r="K605" s="104">
        <f>SUM(H605:J605)</f>
        <v>1047872.0800000001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342056.06</v>
      </c>
      <c r="I606" s="108">
        <f>SUM(I603:I605)</f>
        <v>160737.74</v>
      </c>
      <c r="J606" s="108">
        <f>SUM(J603:J605)</f>
        <v>545078.28</v>
      </c>
      <c r="K606" s="108">
        <f>SUM(K603:K605)</f>
        <v>1047872.0800000001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4257261.7700000005</v>
      </c>
      <c r="H618" s="109">
        <f>SUM(F52)</f>
        <v>4257261.7699999996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135432.15000000002</v>
      </c>
      <c r="H619" s="109">
        <f>SUM(G52)</f>
        <v>135432.15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875634.83</v>
      </c>
      <c r="H620" s="109">
        <f>SUM(H52)</f>
        <v>875634.83000000007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1975736.89</v>
      </c>
      <c r="H622" s="109">
        <f>SUM(J52)</f>
        <v>1975736.89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3606556.65</v>
      </c>
      <c r="H623" s="109">
        <f>F477</f>
        <v>3606556.650000006</v>
      </c>
      <c r="I623" s="121" t="s">
        <v>101</v>
      </c>
      <c r="J623" s="109">
        <f t="shared" ref="J623:J656" si="50">G623-H623</f>
        <v>-6.0535967350006104E-9</v>
      </c>
      <c r="K623" s="109"/>
      <c r="L623" s="109"/>
      <c r="M623" s="8"/>
    </row>
    <row r="624" spans="1:14" s="3" customFormat="1" ht="12.2" customHeight="1" x14ac:dyDescent="0.15">
      <c r="A624" s="97"/>
      <c r="B624" s="105"/>
      <c r="C624" s="119"/>
      <c r="D624" s="119"/>
      <c r="E624" s="119"/>
      <c r="F624" s="119" t="s">
        <v>866</v>
      </c>
      <c r="G624" s="109">
        <f>G51</f>
        <v>14688.98</v>
      </c>
      <c r="H624" s="109">
        <f>G477</f>
        <v>14688.979999999981</v>
      </c>
      <c r="I624" s="121" t="s">
        <v>102</v>
      </c>
      <c r="J624" s="109">
        <f t="shared" si="50"/>
        <v>1.8189894035458565E-11</v>
      </c>
      <c r="K624" s="109"/>
      <c r="L624" s="109"/>
      <c r="M624" s="8"/>
    </row>
    <row r="625" spans="1:13" s="3" customFormat="1" ht="12.2" customHeight="1" x14ac:dyDescent="0.15">
      <c r="A625" s="97"/>
      <c r="B625" s="105"/>
      <c r="C625" s="105"/>
      <c r="D625" s="105"/>
      <c r="E625" s="105"/>
      <c r="F625" s="120" t="s">
        <v>867</v>
      </c>
      <c r="G625" s="109">
        <f>H51</f>
        <v>407054.14</v>
      </c>
      <c r="H625" s="109">
        <f>H477</f>
        <v>407054.14000000013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1975736.89</v>
      </c>
      <c r="H627" s="109">
        <f>J477</f>
        <v>1975736.89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34567349.850000001</v>
      </c>
      <c r="H628" s="104">
        <f>SUM(F469)</f>
        <v>34567349.850000001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659998.99</v>
      </c>
      <c r="H629" s="104">
        <f>SUM(G469)</f>
        <v>659998.99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2930747.9000000004</v>
      </c>
      <c r="H630" s="104">
        <f>SUM(H469)</f>
        <v>2930747.9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385157.79</v>
      </c>
      <c r="H632" s="104">
        <f>SUM(J469)</f>
        <v>385157.79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33415390.020000003</v>
      </c>
      <c r="H633" s="104">
        <f>SUM(F473)</f>
        <v>33415390.02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2762883.63</v>
      </c>
      <c r="H634" s="104">
        <f>SUM(H473)</f>
        <v>2762883.63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531.89</v>
      </c>
      <c r="H635" s="104">
        <f>I370</f>
        <v>531.89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659998.99</v>
      </c>
      <c r="H636" s="104">
        <f>SUM(G473)</f>
        <v>659998.99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40040</v>
      </c>
      <c r="H637" s="104">
        <f>SUM(I473)</f>
        <v>40040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385157.79</v>
      </c>
      <c r="H638" s="164">
        <f>SUM(J469)</f>
        <v>385157.79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153212.91</v>
      </c>
      <c r="H639" s="164">
        <f>SUM(J473)</f>
        <v>153212.91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216143.37</v>
      </c>
      <c r="H640" s="104">
        <f>SUM(F462)</f>
        <v>216143.37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1725782.2</v>
      </c>
      <c r="H641" s="104">
        <f>SUM(G462)</f>
        <v>1725782.2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33811.32</v>
      </c>
      <c r="H642" s="104">
        <f>SUM(H462)</f>
        <v>33811.32</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1975736.89</v>
      </c>
      <c r="H643" s="104">
        <f>SUM(I462)</f>
        <v>1975736.89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3728.79</v>
      </c>
      <c r="H645" s="104">
        <f>H409</f>
        <v>3728.79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381429</v>
      </c>
      <c r="H646" s="104">
        <f>G409</f>
        <v>381429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385157.79</v>
      </c>
      <c r="H647" s="104">
        <f>L409</f>
        <v>385157.79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734377.81</v>
      </c>
      <c r="H648" s="104">
        <f>L209+L227+L245</f>
        <v>734377.81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1047872.0800000001</v>
      </c>
      <c r="H649" s="104">
        <f>(J258+J339)-(J256+J337)</f>
        <v>1047872.0800000001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316271.52</v>
      </c>
      <c r="H650" s="104">
        <f>H599</f>
        <v>316271.52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86452.79</v>
      </c>
      <c r="H651" s="104">
        <f>I599</f>
        <v>86452.790000000008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331653.5</v>
      </c>
      <c r="H652" s="104">
        <f>J599</f>
        <v>331653.49999999994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106223.89</v>
      </c>
      <c r="H653" s="104">
        <f>K264+K346</f>
        <v>106223.89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381429</v>
      </c>
      <c r="H656" s="104">
        <f>K267+K348</f>
        <v>381429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13947551.919999996</v>
      </c>
      <c r="G661" s="19">
        <f>(L230+L310+L360)</f>
        <v>5444475.9099999992</v>
      </c>
      <c r="H661" s="19">
        <f>(L248+L329+L361)</f>
        <v>14407129.920000002</v>
      </c>
      <c r="I661" s="19">
        <f>SUM(F661:H661)</f>
        <v>33799157.75</v>
      </c>
      <c r="J661" s="13"/>
      <c r="K661" s="13"/>
      <c r="L661" s="13"/>
      <c r="M661" s="9"/>
    </row>
    <row r="662" spans="1:13" s="3" customFormat="1" ht="12.2" customHeight="1" x14ac:dyDescent="0.2">
      <c r="A662" s="1" t="s">
        <v>127</v>
      </c>
      <c r="F662" s="19">
        <f>(L359/IF(SUM(L359:L361)=0,1,SUM(L359:L361))*(SUM(G97:G110)))</f>
        <v>670.5068734982458</v>
      </c>
      <c r="G662" s="19">
        <f>(L360/IF(SUM(L359:L361)=0,1,SUM(L359:L361))*(SUM(G97:G110)))</f>
        <v>257.63656242337584</v>
      </c>
      <c r="H662" s="19">
        <f>(L361/IF(SUM(L359:L361)=0,1,SUM(L359:L361))*(SUM(G97:G110)))</f>
        <v>787.14656407837845</v>
      </c>
      <c r="I662" s="19">
        <f>SUM(F662:H662)</f>
        <v>1715.29</v>
      </c>
      <c r="J662"/>
      <c r="K662" s="13"/>
      <c r="L662" s="13"/>
      <c r="M662" s="8"/>
    </row>
    <row r="663" spans="1:13" s="3" customFormat="1" ht="12.2" customHeight="1" x14ac:dyDescent="0.2">
      <c r="A663" s="1" t="s">
        <v>128</v>
      </c>
      <c r="F663" s="19">
        <f>(L209+L288)-(J209+J288)</f>
        <v>286433.11000000004</v>
      </c>
      <c r="G663" s="19">
        <f>(L227+L307)-(J227+J307)</f>
        <v>71880.39</v>
      </c>
      <c r="H663" s="19">
        <f>(L245+L326)-(J245+J326)</f>
        <v>287131.02</v>
      </c>
      <c r="I663" s="19">
        <f>SUM(F663:H663)</f>
        <v>645444.52</v>
      </c>
      <c r="J663"/>
      <c r="K663" s="13"/>
      <c r="L663" s="13"/>
      <c r="M663" s="9"/>
    </row>
    <row r="664" spans="1:13" s="3" customFormat="1" ht="12.2" customHeight="1" x14ac:dyDescent="0.15">
      <c r="A664" s="198" t="s">
        <v>129</v>
      </c>
      <c r="B664" s="169"/>
      <c r="C664" s="169"/>
      <c r="D664" s="169"/>
      <c r="E664" s="169"/>
      <c r="F664" s="199">
        <f>SUM(F576:F588)+SUM(H603:H605)+SUM(L612)</f>
        <v>505862.89</v>
      </c>
      <c r="G664" s="199">
        <f>SUM(G576:G588)+SUM(I603:I605)+L613</f>
        <v>352004.20999999996</v>
      </c>
      <c r="H664" s="199">
        <f>SUM(H576:H588)+SUM(J603:J605)+L614</f>
        <v>665227.75</v>
      </c>
      <c r="I664" s="19">
        <f>SUM(F664:H664)</f>
        <v>1523094.85</v>
      </c>
      <c r="J664" s="13"/>
      <c r="K664" s="13"/>
      <c r="L664" s="13"/>
      <c r="M664" s="9"/>
    </row>
    <row r="665" spans="1:13" s="3" customFormat="1" ht="12.2" customHeight="1" x14ac:dyDescent="0.15">
      <c r="A665" s="1" t="s">
        <v>130</v>
      </c>
      <c r="F665" s="19">
        <f>F661-SUM(F662:F664)</f>
        <v>13154585.413126498</v>
      </c>
      <c r="G665" s="19">
        <f>G661-SUM(G662:G664)</f>
        <v>5020333.6734375758</v>
      </c>
      <c r="H665" s="19">
        <f>H661-SUM(H662:H664)</f>
        <v>13453984.003435923</v>
      </c>
      <c r="I665" s="19">
        <f>I661-SUM(I662:I664)</f>
        <v>31628903.09</v>
      </c>
      <c r="J665" s="13"/>
      <c r="K665" s="13"/>
      <c r="L665" s="13"/>
      <c r="M665" s="8"/>
    </row>
    <row r="666" spans="1:13" s="3" customFormat="1" ht="12.2" customHeight="1" x14ac:dyDescent="0.25">
      <c r="A666" s="1" t="s">
        <v>131</v>
      </c>
      <c r="F666" s="391">
        <v>622.62</v>
      </c>
      <c r="G666" s="391">
        <v>239.27</v>
      </c>
      <c r="H666" s="391">
        <v>721.46</v>
      </c>
      <c r="I666" s="19">
        <f>SUM(F666:H666)</f>
        <v>1583.35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21127.79</v>
      </c>
      <c r="G668" s="19">
        <f>ROUND(G665/G666,2)</f>
        <v>20981.88</v>
      </c>
      <c r="H668" s="19">
        <f>ROUND(H665/H666,2)</f>
        <v>18648.27</v>
      </c>
      <c r="I668" s="19">
        <f>ROUND(I665/I666,2)</f>
        <v>19975.939999999999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21127.79</v>
      </c>
      <c r="G673" s="19">
        <f>ROUND((G665+G670)/(G666+G671),2)</f>
        <v>20981.88</v>
      </c>
      <c r="H673" s="19">
        <f>ROUND((H665+H670)/(H666+H671),2)</f>
        <v>18648.27</v>
      </c>
      <c r="I673" s="19">
        <f>ROUND((I665+I670)/(I666+I671),2)</f>
        <v>19975.939999999999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6383" man="1"/>
    <brk id="112" max="16383" man="1"/>
    <brk id="140" max="16383" man="1"/>
    <brk id="170" max="16383" man="1"/>
    <brk id="194" max="16383" man="1"/>
    <brk id="212" max="16383" man="1"/>
    <brk id="230" max="16383" man="1"/>
    <brk id="248" max="16383" man="1"/>
    <brk id="272" max="16383" man="1"/>
    <brk id="291" max="16383" man="1"/>
    <brk id="310" max="16383" man="1"/>
    <brk id="329" max="16383" man="1"/>
    <brk id="353" max="16383" man="1"/>
    <brk id="383" max="16383" man="1"/>
    <brk id="409" max="16383" man="1"/>
    <brk id="435" max="16383" man="1"/>
    <brk id="462" max="16383" man="1"/>
    <brk id="486" max="16383" man="1"/>
    <brk id="518" max="16383" man="1"/>
    <brk id="553" max="16383" man="1"/>
    <brk id="589" max="16383"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6" zoomScaleNormal="100" workbookViewId="0">
      <selection activeCell="E22" sqref="E22"/>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309083.02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469895.71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527463.89</v>
      </c>
      <c r="F22" s="346"/>
    </row>
    <row r="23" spans="2:8" x14ac:dyDescent="0.25">
      <c r="B23" s="346"/>
      <c r="C23" s="346"/>
      <c r="D23" s="346"/>
      <c r="E23" s="346"/>
      <c r="F23" s="346"/>
    </row>
    <row r="24" spans="2:8" ht="26.25" customHeight="1" x14ac:dyDescent="0.25">
      <c r="B24" s="346"/>
      <c r="C24" s="348" t="s">
        <v>1661</v>
      </c>
      <c r="D24" s="346"/>
      <c r="E24" s="341">
        <v>283057.03000000003</v>
      </c>
      <c r="F24" s="346"/>
    </row>
    <row r="25" spans="2:8" ht="18" x14ac:dyDescent="0.25">
      <c r="B25" s="346"/>
      <c r="C25" s="349"/>
      <c r="D25" s="346"/>
      <c r="E25" s="346"/>
      <c r="F25" s="346"/>
    </row>
    <row r="26" spans="2:8" ht="27.75" customHeight="1" x14ac:dyDescent="0.25">
      <c r="B26" s="346"/>
      <c r="C26" s="348" t="s">
        <v>1662</v>
      </c>
      <c r="D26" s="346"/>
      <c r="E26" s="341">
        <v>244406.86</v>
      </c>
      <c r="F26" s="346"/>
    </row>
    <row r="27" spans="2:8" x14ac:dyDescent="0.25">
      <c r="B27" s="346"/>
      <c r="C27" s="348"/>
      <c r="D27" s="346"/>
      <c r="E27" s="346"/>
      <c r="F27" s="346"/>
    </row>
    <row r="28" spans="2:8" ht="15.75" customHeight="1" x14ac:dyDescent="0.25">
      <c r="B28" s="346"/>
      <c r="C28" s="348" t="s">
        <v>1663</v>
      </c>
      <c r="D28" s="346"/>
      <c r="E28" s="342">
        <v>1010.92</v>
      </c>
      <c r="F28" s="346"/>
    </row>
    <row r="29" spans="2:8" x14ac:dyDescent="0.25">
      <c r="B29" s="346"/>
      <c r="C29" s="346"/>
      <c r="D29" s="346"/>
      <c r="E29" s="346"/>
      <c r="F29" s="346"/>
    </row>
    <row r="30" spans="2:8" ht="16.5" customHeight="1" x14ac:dyDescent="0.25">
      <c r="B30" s="346"/>
      <c r="C30" s="348" t="s">
        <v>1664</v>
      </c>
      <c r="D30" s="346"/>
      <c r="E30" s="341">
        <v>250503.92</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CONWAY SCHOOL DISTRICT</v>
      </c>
      <c r="C5" s="362"/>
      <c r="D5" s="362"/>
      <c r="E5" s="362"/>
      <c r="F5" s="362"/>
    </row>
    <row r="8" spans="1:9" ht="18" x14ac:dyDescent="0.25">
      <c r="A8" s="317" t="s">
        <v>1576</v>
      </c>
      <c r="F8" s="324" t="s">
        <v>1594</v>
      </c>
    </row>
    <row r="9" spans="1:9" ht="15" x14ac:dyDescent="0.2">
      <c r="A9" s="315" t="s">
        <v>1577</v>
      </c>
      <c r="B9" s="318">
        <f>'DOE25'!G97</f>
        <v>1715.29</v>
      </c>
      <c r="F9" s="315" t="s">
        <v>1590</v>
      </c>
    </row>
    <row r="10" spans="1:9" ht="15" x14ac:dyDescent="0.2">
      <c r="A10" s="315" t="s">
        <v>1578</v>
      </c>
      <c r="B10" s="318">
        <f>'DOE25'!G112-'DOE25'!G97</f>
        <v>0</v>
      </c>
      <c r="F10" s="315" t="s">
        <v>1591</v>
      </c>
    </row>
    <row r="11" spans="1:9" ht="15" x14ac:dyDescent="0.2">
      <c r="A11" s="315" t="s">
        <v>1579</v>
      </c>
      <c r="B11" s="318">
        <f>'DOE25'!G140</f>
        <v>12720.82</v>
      </c>
      <c r="F11" s="315" t="s">
        <v>1592</v>
      </c>
    </row>
    <row r="12" spans="1:9" ht="15" x14ac:dyDescent="0.2">
      <c r="A12" s="315" t="s">
        <v>1580</v>
      </c>
      <c r="B12" s="318">
        <f>'DOE25'!G170</f>
        <v>539338.99</v>
      </c>
      <c r="F12" s="315" t="s">
        <v>1593</v>
      </c>
    </row>
    <row r="13" spans="1:9" ht="15" x14ac:dyDescent="0.2">
      <c r="A13" s="315" t="s">
        <v>1581</v>
      </c>
      <c r="B13" s="318">
        <f>'DOE25'!G193-'DOE25'!G180</f>
        <v>0</v>
      </c>
      <c r="F13" s="315" t="s">
        <v>1603</v>
      </c>
    </row>
    <row r="14" spans="1:9" ht="18" x14ac:dyDescent="0.25">
      <c r="A14" s="317" t="s">
        <v>732</v>
      </c>
      <c r="B14" s="319">
        <f>SUM(B9:B13)</f>
        <v>553775.1</v>
      </c>
    </row>
    <row r="16" spans="1:9" ht="18" x14ac:dyDescent="0.25">
      <c r="A16" s="317" t="s">
        <v>786</v>
      </c>
      <c r="F16" s="324" t="s">
        <v>1595</v>
      </c>
    </row>
    <row r="17" spans="1:6" ht="15" x14ac:dyDescent="0.2">
      <c r="A17" s="315" t="s">
        <v>1582</v>
      </c>
      <c r="B17" s="318">
        <f>'DOE25'!L363-'DOE25'!L362</f>
        <v>659998.99</v>
      </c>
      <c r="F17" s="315" t="s">
        <v>1596</v>
      </c>
    </row>
    <row r="18" spans="1:6" ht="15" x14ac:dyDescent="0.2">
      <c r="A18" s="315" t="s">
        <v>1583</v>
      </c>
      <c r="B18" s="328"/>
      <c r="F18" s="324" t="s">
        <v>1620</v>
      </c>
    </row>
    <row r="19" spans="1:6" ht="18" x14ac:dyDescent="0.25">
      <c r="A19" s="317" t="s">
        <v>725</v>
      </c>
      <c r="B19" s="319">
        <f>SUM(B17:B18)</f>
        <v>659998.99</v>
      </c>
    </row>
    <row r="21" spans="1:6" ht="18.75" thickBot="1" x14ac:dyDescent="0.3">
      <c r="A21" s="317" t="s">
        <v>1584</v>
      </c>
    </row>
    <row r="22" spans="1:6" ht="18.75" thickTop="1" x14ac:dyDescent="0.25">
      <c r="A22" s="317" t="s">
        <v>1585</v>
      </c>
      <c r="B22" s="323">
        <f>B14-B19</f>
        <v>-106223.89000000001</v>
      </c>
      <c r="F22" s="315" t="s">
        <v>1597</v>
      </c>
    </row>
    <row r="26" spans="1:6" ht="18" x14ac:dyDescent="0.25">
      <c r="A26" s="317" t="s">
        <v>186</v>
      </c>
    </row>
    <row r="27" spans="1:6" ht="15" x14ac:dyDescent="0.2">
      <c r="A27" s="315" t="s">
        <v>1586</v>
      </c>
      <c r="B27" s="318">
        <f>'DOE25'!G180</f>
        <v>106223.89</v>
      </c>
      <c r="F27" s="315" t="s">
        <v>1598</v>
      </c>
    </row>
    <row r="28" spans="1:6" ht="15" x14ac:dyDescent="0.2">
      <c r="A28" s="315" t="s">
        <v>1588</v>
      </c>
      <c r="B28" s="318">
        <f>'DOE25'!L362</f>
        <v>0</v>
      </c>
      <c r="F28" s="315" t="s">
        <v>1599</v>
      </c>
    </row>
    <row r="31" spans="1:6" ht="15" x14ac:dyDescent="0.2">
      <c r="A31" s="315" t="s">
        <v>1628</v>
      </c>
      <c r="B31" s="318">
        <f>'DOE25'!G466</f>
        <v>5094.22</v>
      </c>
      <c r="F31" s="315" t="s">
        <v>1600</v>
      </c>
    </row>
    <row r="33" spans="1:6" ht="15" x14ac:dyDescent="0.2">
      <c r="A33" s="315" t="s">
        <v>1629</v>
      </c>
      <c r="B33" s="318">
        <f>'DOE25'!G477</f>
        <v>14688.979999999981</v>
      </c>
      <c r="F33" s="315" t="s">
        <v>1601</v>
      </c>
    </row>
    <row r="36" spans="1:6" ht="15" x14ac:dyDescent="0.2">
      <c r="A36" s="315" t="s">
        <v>1587</v>
      </c>
      <c r="B36" s="329">
        <v>86120.68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CONWAY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7529753.1899999995</v>
      </c>
      <c r="C9" s="229">
        <f>'DOE25'!G198+'DOE25'!G216+'DOE25'!G234+'DOE25'!G277+'DOE25'!G296+'DOE25'!G315</f>
        <v>5682048.4700000007</v>
      </c>
    </row>
    <row r="10" spans="1:3" x14ac:dyDescent="0.2">
      <c r="A10" t="s">
        <v>775</v>
      </c>
      <c r="B10" s="240">
        <v>6745561.21</v>
      </c>
      <c r="C10" s="240">
        <v>5220780.34</v>
      </c>
    </row>
    <row r="11" spans="1:3" x14ac:dyDescent="0.2">
      <c r="A11" t="s">
        <v>776</v>
      </c>
      <c r="B11" s="240">
        <v>85097.67</v>
      </c>
      <c r="C11" s="240">
        <v>219819.73</v>
      </c>
    </row>
    <row r="12" spans="1:3" x14ac:dyDescent="0.2">
      <c r="A12" t="s">
        <v>777</v>
      </c>
      <c r="B12" s="240">
        <v>699094.28</v>
      </c>
      <c r="C12" s="240">
        <v>241448.43</v>
      </c>
    </row>
    <row r="13" spans="1:3" x14ac:dyDescent="0.2">
      <c r="A13" t="str">
        <f>IF(B9=B13,IF(C9=C13,"Check Total OK","Check Total Error"),"Check Total Error")</f>
        <v>Check Total Error</v>
      </c>
      <c r="B13" s="231">
        <f>SUM(B10:B12)</f>
        <v>7529753.1600000001</v>
      </c>
      <c r="C13" s="231">
        <f>SUM(C10:C12)</f>
        <v>5682048.5</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2433202.66</v>
      </c>
      <c r="C18" s="229">
        <f>'DOE25'!G199+'DOE25'!G217+'DOE25'!G235+'DOE25'!G278+'DOE25'!G297+'DOE25'!G316</f>
        <v>1637227.32</v>
      </c>
    </row>
    <row r="19" spans="1:3" x14ac:dyDescent="0.2">
      <c r="A19" t="s">
        <v>775</v>
      </c>
      <c r="B19" s="240">
        <v>1281853.8500000001</v>
      </c>
      <c r="C19" s="240">
        <v>684224.81</v>
      </c>
    </row>
    <row r="20" spans="1:3" x14ac:dyDescent="0.2">
      <c r="A20" t="s">
        <v>776</v>
      </c>
      <c r="B20" s="240">
        <v>1041988.97</v>
      </c>
      <c r="C20" s="240">
        <v>920162.09</v>
      </c>
    </row>
    <row r="21" spans="1:3" x14ac:dyDescent="0.2">
      <c r="A21" t="s">
        <v>777</v>
      </c>
      <c r="B21" s="240">
        <v>109359.84</v>
      </c>
      <c r="C21" s="240">
        <v>32840.42</v>
      </c>
    </row>
    <row r="22" spans="1:3" x14ac:dyDescent="0.2">
      <c r="A22" t="str">
        <f>IF(B18=B22,IF(C18=C22,"Check Total OK","Check Total Error"),"Check Total Error")</f>
        <v>Check Total OK</v>
      </c>
      <c r="B22" s="231">
        <f>SUM(B19:B21)</f>
        <v>2433202.66</v>
      </c>
      <c r="C22" s="231">
        <f>SUM(C19:C21)</f>
        <v>1637227.3199999998</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571563.46</v>
      </c>
      <c r="C27" s="234">
        <f>'DOE25'!G200+'DOE25'!G218+'DOE25'!G236+'DOE25'!G279+'DOE25'!G298+'DOE25'!G317</f>
        <v>313129.02999999997</v>
      </c>
    </row>
    <row r="28" spans="1:3" x14ac:dyDescent="0.2">
      <c r="A28" t="s">
        <v>775</v>
      </c>
      <c r="B28" s="240">
        <v>522305.46</v>
      </c>
      <c r="C28" s="240">
        <v>285460.89</v>
      </c>
    </row>
    <row r="29" spans="1:3" x14ac:dyDescent="0.2">
      <c r="A29" t="s">
        <v>776</v>
      </c>
      <c r="B29" s="240"/>
      <c r="C29" s="240"/>
    </row>
    <row r="30" spans="1:3" x14ac:dyDescent="0.2">
      <c r="A30" t="s">
        <v>777</v>
      </c>
      <c r="B30" s="240">
        <v>49258</v>
      </c>
      <c r="C30" s="240">
        <v>27668.14</v>
      </c>
    </row>
    <row r="31" spans="1:3" x14ac:dyDescent="0.2">
      <c r="A31" t="str">
        <f>IF(B27=B31,IF(C27=C31,"Check Total OK","Check Total Error"),"Check Total Error")</f>
        <v>Check Total OK</v>
      </c>
      <c r="B31" s="231">
        <f>SUM(B28:B30)</f>
        <v>571563.46</v>
      </c>
      <c r="C31" s="231">
        <f>SUM(C28:C30)</f>
        <v>313129.03000000003</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575661.69000000006</v>
      </c>
      <c r="C36" s="235">
        <f>'DOE25'!G201+'DOE25'!G219+'DOE25'!G237+'DOE25'!G280+'DOE25'!G299+'DOE25'!G318</f>
        <v>112071.54</v>
      </c>
    </row>
    <row r="37" spans="1:3" x14ac:dyDescent="0.2">
      <c r="A37" t="s">
        <v>775</v>
      </c>
      <c r="B37" s="240"/>
      <c r="C37" s="240"/>
    </row>
    <row r="38" spans="1:3" x14ac:dyDescent="0.2">
      <c r="A38" t="s">
        <v>776</v>
      </c>
      <c r="B38" s="240"/>
      <c r="C38" s="240"/>
    </row>
    <row r="39" spans="1:3" x14ac:dyDescent="0.2">
      <c r="A39" t="s">
        <v>777</v>
      </c>
      <c r="B39" s="240">
        <v>575661.68999999994</v>
      </c>
      <c r="C39" s="240">
        <v>112071.54</v>
      </c>
    </row>
    <row r="40" spans="1:3" x14ac:dyDescent="0.2">
      <c r="A40" t="str">
        <f>IF(B36=B40,IF(C36=C40,"Check Total OK","Check Total Error"),"Check Total Error")</f>
        <v>Check Total OK</v>
      </c>
      <c r="B40" s="231">
        <f>SUM(B37:B39)</f>
        <v>575661.68999999994</v>
      </c>
      <c r="C40" s="231">
        <f>SUM(C37:C39)</f>
        <v>112071.54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CONWAY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19111587.960000001</v>
      </c>
      <c r="D5" s="20">
        <f>SUM('DOE25'!L198:L201)+SUM('DOE25'!L216:L219)+SUM('DOE25'!L234:L237)-F5-G5-H5</f>
        <v>18814083.510000002</v>
      </c>
      <c r="E5" s="243"/>
      <c r="F5" s="244">
        <v>16000</v>
      </c>
      <c r="G5" s="53">
        <f>SUM('DOE25'!J198:J201)+SUM('DOE25'!J216:J219)+SUM('DOE25'!J234:J237)</f>
        <v>270017.58999999997</v>
      </c>
      <c r="H5" s="53">
        <f>SUM('DOE25'!K198:K201)+SUM('DOE25'!K216:K219)+SUM('DOE25'!K234:K237)</f>
        <v>11486.86</v>
      </c>
      <c r="I5" s="254"/>
    </row>
    <row r="6" spans="1:9" x14ac:dyDescent="0.2">
      <c r="A6" s="32">
        <v>2100</v>
      </c>
      <c r="B6" t="s">
        <v>796</v>
      </c>
      <c r="C6" s="273">
        <f t="shared" si="0"/>
        <v>2611159.41</v>
      </c>
      <c r="D6" s="20">
        <f>'DOE25'!L203+'DOE25'!L221+'DOE25'!L239-F6-G6-H6</f>
        <v>2571612.9300000002</v>
      </c>
      <c r="E6" s="243"/>
      <c r="F6" s="244">
        <v>36184.83</v>
      </c>
      <c r="G6" s="53">
        <f>'DOE25'!J203+'DOE25'!J221+'DOE25'!J239</f>
        <v>2298.6499999999996</v>
      </c>
      <c r="H6" s="53">
        <f>'DOE25'!K203+'DOE25'!K221+'DOE25'!K239</f>
        <v>1063</v>
      </c>
      <c r="I6" s="254"/>
    </row>
    <row r="7" spans="1:9" x14ac:dyDescent="0.2">
      <c r="A7" s="32">
        <v>2200</v>
      </c>
      <c r="B7" t="s">
        <v>821</v>
      </c>
      <c r="C7" s="273">
        <f t="shared" si="0"/>
        <v>605553.2300000001</v>
      </c>
      <c r="D7" s="20">
        <f>'DOE25'!L204+'DOE25'!L222+'DOE25'!L240-F7-G7-H7</f>
        <v>603681.70000000007</v>
      </c>
      <c r="E7" s="243"/>
      <c r="F7" s="244"/>
      <c r="G7" s="53">
        <f>'DOE25'!J204+'DOE25'!J222+'DOE25'!J240</f>
        <v>854.53</v>
      </c>
      <c r="H7" s="53">
        <f>'DOE25'!K204+'DOE25'!K222+'DOE25'!K240</f>
        <v>1017</v>
      </c>
      <c r="I7" s="254"/>
    </row>
    <row r="8" spans="1:9" x14ac:dyDescent="0.2">
      <c r="A8" s="32">
        <v>2300</v>
      </c>
      <c r="B8" t="s">
        <v>797</v>
      </c>
      <c r="C8" s="273">
        <f t="shared" si="0"/>
        <v>868690.29999999993</v>
      </c>
      <c r="D8" s="243"/>
      <c r="E8" s="20">
        <f>'DOE25'!L205+'DOE25'!L223+'DOE25'!L241-F8-G8-H8-D9-D11</f>
        <v>863634.03999999992</v>
      </c>
      <c r="F8" s="244"/>
      <c r="G8" s="53">
        <f>'DOE25'!J205+'DOE25'!J223+'DOE25'!J241</f>
        <v>0</v>
      </c>
      <c r="H8" s="53">
        <f>'DOE25'!K205+'DOE25'!K223+'DOE25'!K241</f>
        <v>5056.26</v>
      </c>
      <c r="I8" s="254"/>
    </row>
    <row r="9" spans="1:9" ht="14.25" x14ac:dyDescent="0.2">
      <c r="A9" s="32">
        <v>2310</v>
      </c>
      <c r="B9" s="185" t="s">
        <v>888</v>
      </c>
      <c r="C9" s="273">
        <f t="shared" si="0"/>
        <v>216851.12</v>
      </c>
      <c r="D9" s="244">
        <v>216851.12</v>
      </c>
      <c r="E9" s="243"/>
      <c r="F9" s="251"/>
      <c r="G9" s="251"/>
      <c r="H9" s="251"/>
      <c r="I9" s="254"/>
    </row>
    <row r="10" spans="1:9" ht="14.25" x14ac:dyDescent="0.2">
      <c r="A10" s="32">
        <v>2317</v>
      </c>
      <c r="B10" s="185" t="s">
        <v>889</v>
      </c>
      <c r="C10" s="273">
        <f t="shared" si="0"/>
        <v>17500</v>
      </c>
      <c r="D10" s="243"/>
      <c r="E10" s="244">
        <v>17500</v>
      </c>
      <c r="F10" s="251"/>
      <c r="G10" s="251"/>
      <c r="H10" s="251"/>
      <c r="I10" s="254"/>
    </row>
    <row r="11" spans="1:9" ht="14.25" x14ac:dyDescent="0.2">
      <c r="A11" s="32">
        <v>2321</v>
      </c>
      <c r="B11" s="185" t="s">
        <v>890</v>
      </c>
      <c r="C11" s="273">
        <f t="shared" si="0"/>
        <v>310795.61</v>
      </c>
      <c r="D11" s="244">
        <v>310795.61</v>
      </c>
      <c r="E11" s="243"/>
      <c r="F11" s="251"/>
      <c r="G11" s="251"/>
      <c r="H11" s="251"/>
      <c r="I11" s="254"/>
    </row>
    <row r="12" spans="1:9" x14ac:dyDescent="0.2">
      <c r="A12" s="32">
        <v>2400</v>
      </c>
      <c r="B12" t="s">
        <v>711</v>
      </c>
      <c r="C12" s="273">
        <f t="shared" si="0"/>
        <v>1945613.17</v>
      </c>
      <c r="D12" s="20">
        <f>'DOE25'!L206+'DOE25'!L224+'DOE25'!L242-F12-G12-H12</f>
        <v>1814650.52</v>
      </c>
      <c r="E12" s="243"/>
      <c r="F12" s="244"/>
      <c r="G12" s="53">
        <f>'DOE25'!J206+'DOE25'!J224+'DOE25'!J242</f>
        <v>99449.48000000001</v>
      </c>
      <c r="H12" s="53">
        <f>'DOE25'!K206+'DOE25'!K224+'DOE25'!K242</f>
        <v>31513.17</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3968355.5199999996</v>
      </c>
      <c r="D14" s="20">
        <f>'DOE25'!L208+'DOE25'!L226+'DOE25'!L244-F14-G14-H14</f>
        <v>3766616.9199999995</v>
      </c>
      <c r="E14" s="243"/>
      <c r="F14" s="244">
        <v>114917.93</v>
      </c>
      <c r="G14" s="53">
        <f>'DOE25'!J208+'DOE25'!J226+'DOE25'!J244</f>
        <v>86820.67</v>
      </c>
      <c r="H14" s="53">
        <f>'DOE25'!K208+'DOE25'!K226+'DOE25'!K244</f>
        <v>0</v>
      </c>
      <c r="I14" s="254"/>
    </row>
    <row r="15" spans="1:9" x14ac:dyDescent="0.2">
      <c r="A15" s="32">
        <v>2700</v>
      </c>
      <c r="B15" t="s">
        <v>799</v>
      </c>
      <c r="C15" s="273">
        <f t="shared" si="0"/>
        <v>734377.81</v>
      </c>
      <c r="D15" s="20">
        <f>'DOE25'!L209+'DOE25'!L227+'DOE25'!L245-F15-G15-H15</f>
        <v>637357.81000000006</v>
      </c>
      <c r="E15" s="243"/>
      <c r="F15" s="244"/>
      <c r="G15" s="53">
        <f>'DOE25'!J209+'DOE25'!J227+'DOE25'!J245</f>
        <v>97020</v>
      </c>
      <c r="H15" s="53">
        <f>'DOE25'!K209+'DOE25'!K227+'DOE25'!K245</f>
        <v>0</v>
      </c>
      <c r="I15" s="254"/>
    </row>
    <row r="16" spans="1:9" x14ac:dyDescent="0.2">
      <c r="A16" s="32">
        <v>2800</v>
      </c>
      <c r="B16" t="s">
        <v>800</v>
      </c>
      <c r="C16" s="273">
        <f t="shared" si="0"/>
        <v>3291</v>
      </c>
      <c r="D16" s="243"/>
      <c r="E16" s="20">
        <f>'DOE25'!L210+'DOE25'!L228+'DOE25'!L246-F16-G16-H16</f>
        <v>3291</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2551462</v>
      </c>
      <c r="D25" s="243"/>
      <c r="E25" s="243"/>
      <c r="F25" s="253"/>
      <c r="G25" s="251"/>
      <c r="H25" s="251"/>
      <c r="I25" s="252">
        <f>'DOE25'!L261+'DOE25'!L262+'DOE25'!L342+'DOE25'!L343</f>
        <v>2551462</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659998.99</v>
      </c>
      <c r="D29" s="281">
        <f>'DOE25'!L359+'DOE25'!L360+'DOE25'!L361-'DOE25'!I368-F29-G29-H29</f>
        <v>41282.989999999991</v>
      </c>
      <c r="E29" s="243"/>
      <c r="F29" s="244">
        <v>618716</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2762883.63</v>
      </c>
      <c r="D31" s="20">
        <f>'DOE25'!L291+'DOE25'!L310+'DOE25'!L329+'DOE25'!L334+'DOE25'!L335+'DOE25'!L336-F31-G31-H31</f>
        <v>2207041.1099999994</v>
      </c>
      <c r="E31" s="243"/>
      <c r="F31" s="244">
        <v>59838.2</v>
      </c>
      <c r="G31" s="53">
        <f>'DOE25'!J291+'DOE25'!J310+'DOE25'!J329+'DOE25'!J334+'DOE25'!J335+'DOE25'!J336</f>
        <v>491411.16</v>
      </c>
      <c r="H31" s="53">
        <f>'DOE25'!K291+'DOE25'!K310+'DOE25'!K329+'DOE25'!K334+'DOE25'!K335+'DOE25'!K336</f>
        <v>4593.16</v>
      </c>
      <c r="I31" s="254"/>
    </row>
    <row r="32" spans="1:9" ht="12" thickBot="1" x14ac:dyDescent="0.25">
      <c r="C32" s="274"/>
      <c r="G32" s="249"/>
      <c r="H32" s="249"/>
      <c r="I32" s="256"/>
    </row>
    <row r="33" spans="1:9" ht="12" thickTop="1" x14ac:dyDescent="0.2">
      <c r="B33" t="s">
        <v>809</v>
      </c>
      <c r="D33" s="245">
        <f t="shared" ref="D33:I33" si="1">SUM(D5:D31)</f>
        <v>30983974.219999995</v>
      </c>
      <c r="E33" s="245">
        <f t="shared" si="1"/>
        <v>884425.03999999992</v>
      </c>
      <c r="F33" s="245">
        <f t="shared" si="1"/>
        <v>845656.96</v>
      </c>
      <c r="G33" s="245">
        <f t="shared" si="1"/>
        <v>1047872.0799999998</v>
      </c>
      <c r="H33" s="245">
        <f t="shared" si="1"/>
        <v>54729.45</v>
      </c>
      <c r="I33" s="245">
        <f t="shared" si="1"/>
        <v>2551462</v>
      </c>
    </row>
    <row r="35" spans="1:9" ht="12" thickBot="1" x14ac:dyDescent="0.25">
      <c r="B35" s="249" t="s">
        <v>831</v>
      </c>
      <c r="D35" s="250">
        <f>E33</f>
        <v>884425.03999999992</v>
      </c>
      <c r="E35" s="246"/>
      <c r="F35" s="333" t="s">
        <v>1632</v>
      </c>
      <c r="G35" s="334"/>
      <c r="H35" s="334"/>
      <c r="I35" s="334"/>
    </row>
    <row r="36" spans="1:9" ht="12" thickTop="1" x14ac:dyDescent="0.2">
      <c r="B36" t="s">
        <v>810</v>
      </c>
      <c r="D36" s="20">
        <f>D33</f>
        <v>30983974.219999995</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26" sqref="D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CONWAY SCHOOL DISTRICT</v>
      </c>
      <c r="B2" s="126">
        <f>'DOE25'!B2</f>
        <v>113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13689558.309999999</v>
      </c>
      <c r="G4" s="300">
        <f>'DOE25'!L212+'DOE25'!L291</f>
        <v>13689558.309999997</v>
      </c>
      <c r="H4" s="353">
        <f>F4-G4</f>
        <v>0</v>
      </c>
      <c r="I4" s="370" t="str">
        <f>IF(H4=0,"","ISSUES!! Please review page 7 and 11 totals in comparison with total on this page")</f>
        <v/>
      </c>
      <c r="N4"/>
    </row>
    <row r="5" spans="1:18" x14ac:dyDescent="0.2">
      <c r="A5" s="21" t="s">
        <v>993</v>
      </c>
      <c r="B5" s="301">
        <f>IFERROR(VLOOKUP(A5,'School Tables'!$C$3:$D$365,2,FALSE),"")</f>
        <v>20340</v>
      </c>
      <c r="C5" s="294" t="str">
        <f>IFERROR(INDEX('School Tables'!$B$3:$B$365,MATCH('School Level Expenditures'!B5,'School Tables'!$D$3:$D$365,0)),"")</f>
        <v>Conway</v>
      </c>
      <c r="D5" s="291">
        <v>4029890.48</v>
      </c>
      <c r="E5" s="291">
        <v>554115.19999999995</v>
      </c>
      <c r="F5" s="304">
        <f>D5+E5</f>
        <v>4584005.68</v>
      </c>
      <c r="G5" s="294"/>
      <c r="H5" s="294"/>
      <c r="I5" s="371"/>
      <c r="N5"/>
    </row>
    <row r="6" spans="1:18" x14ac:dyDescent="0.2">
      <c r="A6" s="21" t="s">
        <v>992</v>
      </c>
      <c r="B6" s="301">
        <f>IFERROR(VLOOKUP(A6,'School Tables'!$C$3:$D$365,2,FALSE),"")</f>
        <v>20335</v>
      </c>
      <c r="C6" s="294" t="str">
        <f>IFERROR(INDEX('School Tables'!$B$3:$B$365,MATCH('School Level Expenditures'!B6,'School Tables'!$D$3:$D$365,0)),"")</f>
        <v>Conway</v>
      </c>
      <c r="D6" s="291">
        <v>3636827.61</v>
      </c>
      <c r="E6" s="291">
        <v>330587.78999999998</v>
      </c>
      <c r="F6" s="304">
        <f t="shared" ref="F6:F20" si="0">D6+E6</f>
        <v>3967415.4</v>
      </c>
      <c r="G6" s="294"/>
      <c r="H6" s="294"/>
      <c r="I6" s="371"/>
      <c r="N6"/>
    </row>
    <row r="7" spans="1:18" x14ac:dyDescent="0.2">
      <c r="A7" s="21" t="s">
        <v>991</v>
      </c>
      <c r="B7" s="301">
        <f>IFERROR(VLOOKUP(A7,'School Tables'!$C$3:$D$365,2,FALSE),"")</f>
        <v>20330</v>
      </c>
      <c r="C7" s="294" t="str">
        <f>IFERROR(INDEX('School Tables'!$B$3:$B$365,MATCH('School Level Expenditures'!B7,'School Tables'!$D$3:$D$365,0)),"")</f>
        <v>Conway</v>
      </c>
      <c r="D7" s="291">
        <v>4238615.93</v>
      </c>
      <c r="E7" s="291">
        <v>547198.26</v>
      </c>
      <c r="F7" s="304">
        <f t="shared" si="0"/>
        <v>4785814.1899999995</v>
      </c>
      <c r="G7" s="294"/>
      <c r="H7" s="294"/>
      <c r="I7" s="354"/>
      <c r="N7"/>
    </row>
    <row r="8" spans="1:18" x14ac:dyDescent="0.2">
      <c r="A8" s="21" t="s">
        <v>1555</v>
      </c>
      <c r="B8" s="301">
        <f>IFERROR(VLOOKUP(A8,'School Tables'!$C$3:$D$365,2,FALSE),"")</f>
        <v>99999</v>
      </c>
      <c r="C8" s="294" t="str">
        <f>IFERROR(INDEX('School Tables'!$B$3:$B$365,MATCH('School Level Expenditures'!B8,'School Tables'!$D$3:$D$365,0)),"")</f>
        <v>Other District Expenditures</v>
      </c>
      <c r="D8" s="291">
        <v>337179.6</v>
      </c>
      <c r="E8" s="291">
        <v>15143.44</v>
      </c>
      <c r="F8" s="304">
        <f t="shared" si="0"/>
        <v>352323.04</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12242513.619999999</v>
      </c>
      <c r="E21" s="351">
        <f>SUM(E5:E20)</f>
        <v>1447044.69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5345344.0599999996</v>
      </c>
      <c r="G24" s="300">
        <f>'DOE25'!L230+'DOE25'!L310</f>
        <v>5345344.0599999996</v>
      </c>
      <c r="H24" s="353">
        <f>F24-G24</f>
        <v>0</v>
      </c>
      <c r="I24" s="370" t="str">
        <f>IF(H24=0,"","ISSUES!! Please review page 8 and 12 totals in comparison with total on this page")</f>
        <v/>
      </c>
      <c r="N24"/>
    </row>
    <row r="25" spans="1:14" x14ac:dyDescent="0.2">
      <c r="A25" s="21" t="s">
        <v>1636</v>
      </c>
      <c r="B25" s="301">
        <f>IFERROR(VLOOKUP(A25,'School Tables'!$I$3:$J$80,2,FALSE),"")</f>
        <v>27010</v>
      </c>
      <c r="C25" s="294" t="str">
        <f t="array" ref="C25">IFERROR(INDEX('School Tables'!$H$3:$H$80,MATCH('School Level Expenditures'!B25,'School Tables'!$J$3:$J$80,0)),"")</f>
        <v>Conway</v>
      </c>
      <c r="D25" s="291">
        <v>4903566.88</v>
      </c>
      <c r="E25" s="291">
        <v>250510.71</v>
      </c>
      <c r="F25" s="304">
        <f>D25+E25</f>
        <v>5154077.59</v>
      </c>
      <c r="G25" s="294"/>
      <c r="H25" s="294"/>
      <c r="I25" s="371"/>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v>191266.47</v>
      </c>
      <c r="E26" s="291"/>
      <c r="F26" s="304">
        <f t="shared" ref="F26:F32" si="1">D26+E26</f>
        <v>191266.47</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5094833.3499999996</v>
      </c>
      <c r="E33" s="351">
        <f>SUM(E25:E32)</f>
        <v>250510.71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14104256.390000001</v>
      </c>
      <c r="G36" s="300">
        <f>'DOE25'!L248+'DOE25'!L329</f>
        <v>14104256.390000002</v>
      </c>
      <c r="H36" s="353">
        <f>IF(AND(D43='DOE25'!L248,'School Level Expenditures'!E43='DOE25'!L329),'School Level Expenditures'!F36-'School Level Expenditures'!G36,"Does not match page 7 or 11 totals!!")</f>
        <v>-1.862645149230957E-9</v>
      </c>
      <c r="I36" s="370" t="str">
        <f>IF(H36=0,"","ISSUES!! Please review page 9 and 13 totals in comparison with total on this page")</f>
        <v>ISSUES!! Please review page 9 and 13 totals in comparison with total on this page</v>
      </c>
      <c r="N36"/>
    </row>
    <row r="37" spans="1:14" x14ac:dyDescent="0.2">
      <c r="A37" s="21" t="s">
        <v>994</v>
      </c>
      <c r="B37" s="301">
        <f>IFERROR(VLOOKUP(A37,'School Tables'!$O$3:$P$118,2,FALSE),"")</f>
        <v>20345</v>
      </c>
      <c r="C37" s="294" t="str">
        <f t="array" ref="C37">IFERROR(INDEX('School Tables'!$N$3:$N$118,MATCH('School Level Expenditures'!B37,'School Tables'!$P$3:$P$118,0)),"")</f>
        <v>Conway</v>
      </c>
      <c r="D37" s="291">
        <v>12918778.689999999</v>
      </c>
      <c r="E37" s="291">
        <v>1065328.23</v>
      </c>
      <c r="F37" s="304">
        <f t="shared" ref="F37:F42" si="2">D37+E37</f>
        <v>13984106.92</v>
      </c>
      <c r="G37" s="294"/>
      <c r="H37" s="294"/>
      <c r="I37" s="371"/>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120149.47</v>
      </c>
      <c r="E38" s="291"/>
      <c r="F38" s="304">
        <f t="shared" si="2"/>
        <v>120149.47</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13038928.16</v>
      </c>
      <c r="E43" s="352">
        <f>SUM(E37:E42)</f>
        <v>1065328.23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CONWAY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3419969.05</v>
      </c>
      <c r="D8" s="95">
        <f>'DOE25'!G9</f>
        <v>5782.55</v>
      </c>
      <c r="E8" s="95">
        <f>'DOE25'!H9</f>
        <v>0</v>
      </c>
      <c r="F8" s="95">
        <f>'DOE25'!I9</f>
        <v>0</v>
      </c>
      <c r="G8" s="95">
        <f>'DOE25'!J9</f>
        <v>1975736.89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526676.56000000006</v>
      </c>
      <c r="D11" s="95">
        <f>'DOE25'!G12</f>
        <v>0</v>
      </c>
      <c r="E11" s="95">
        <f>'DOE25'!H12</f>
        <v>2000</v>
      </c>
      <c r="F11" s="95">
        <f>'DOE25'!I12</f>
        <v>0</v>
      </c>
      <c r="G11" s="95">
        <f>'DOE25'!J12</f>
        <v>0</v>
      </c>
      <c r="H11" s="124"/>
      <c r="I11" s="124"/>
    </row>
    <row r="12" spans="1:9" x14ac:dyDescent="0.2">
      <c r="A12" s="1" t="s">
        <v>143</v>
      </c>
      <c r="B12" s="6">
        <v>140</v>
      </c>
      <c r="C12" s="95">
        <f>'DOE25'!F13</f>
        <v>297651.92</v>
      </c>
      <c r="D12" s="95">
        <f>'DOE25'!G13</f>
        <v>114836.74</v>
      </c>
      <c r="E12" s="95">
        <f>'DOE25'!H13</f>
        <v>873634.83</v>
      </c>
      <c r="F12" s="95">
        <f>'DOE25'!I13</f>
        <v>0</v>
      </c>
      <c r="G12" s="95">
        <f>'DOE25'!J13</f>
        <v>0</v>
      </c>
      <c r="H12" s="124"/>
      <c r="I12" s="124"/>
    </row>
    <row r="13" spans="1:9" x14ac:dyDescent="0.2">
      <c r="A13" s="1" t="s">
        <v>144</v>
      </c>
      <c r="B13" s="6">
        <v>150</v>
      </c>
      <c r="C13" s="95">
        <f>'DOE25'!F14</f>
        <v>12964.24</v>
      </c>
      <c r="D13" s="95">
        <f>'DOE25'!G14</f>
        <v>123.88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14688.98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4257261.7700000005</v>
      </c>
      <c r="D18" s="41">
        <f>SUM(D8:D17)</f>
        <v>135432.15000000002</v>
      </c>
      <c r="E18" s="41">
        <f>SUM(E8:E17)</f>
        <v>875634.83</v>
      </c>
      <c r="F18" s="41">
        <f>SUM(F8:F17)</f>
        <v>0</v>
      </c>
      <c r="G18" s="41">
        <f>SUM(G8:G17)</f>
        <v>1975736.89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120743.17</v>
      </c>
      <c r="E21" s="95">
        <f>'DOE25'!H22</f>
        <v>368145.89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491814.89</v>
      </c>
      <c r="D23" s="95">
        <f>'DOE25'!G24</f>
        <v>0</v>
      </c>
      <c r="E23" s="95">
        <f>'DOE25'!H24</f>
        <v>100434.8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48251.03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110639.2</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650705.12</v>
      </c>
      <c r="D31" s="41">
        <f>SUM(D21:D30)</f>
        <v>120743.17</v>
      </c>
      <c r="E31" s="41">
        <f>SUM(E21:E30)</f>
        <v>468580.69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14688.98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228340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407054.14</v>
      </c>
      <c r="F47" s="95">
        <f>'DOE25'!I48</f>
        <v>0</v>
      </c>
      <c r="G47" s="95">
        <f>'DOE25'!J48</f>
        <v>1975736.89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3378216.65</v>
      </c>
      <c r="D49" s="24" t="s">
        <v>288</v>
      </c>
      <c r="E49" s="24" t="s">
        <v>288</v>
      </c>
      <c r="F49" s="24" t="s">
        <v>288</v>
      </c>
      <c r="G49" s="24" t="s">
        <v>288</v>
      </c>
      <c r="H49" s="124"/>
      <c r="I49" s="124"/>
    </row>
    <row r="50" spans="1:9" ht="12.75" thickTop="1" thickBot="1" x14ac:dyDescent="0.25">
      <c r="A50" s="38" t="s">
        <v>884</v>
      </c>
      <c r="B50" s="48"/>
      <c r="C50" s="41">
        <f>SUM(C34:C49)</f>
        <v>3606556.65</v>
      </c>
      <c r="D50" s="41">
        <f>SUM(D34:D49)</f>
        <v>14688.98</v>
      </c>
      <c r="E50" s="41">
        <f>SUM(E34:E49)</f>
        <v>407054.14</v>
      </c>
      <c r="F50" s="41">
        <f>SUM(F34:F49)</f>
        <v>0</v>
      </c>
      <c r="G50" s="41">
        <f>SUM(G34:G49)</f>
        <v>1975736.89</v>
      </c>
      <c r="H50" s="124"/>
      <c r="I50" s="124"/>
    </row>
    <row r="51" spans="1:9" ht="12" thickTop="1" x14ac:dyDescent="0.2">
      <c r="A51" s="38" t="s">
        <v>885</v>
      </c>
      <c r="B51" s="2"/>
      <c r="C51" s="41">
        <f>C50+C31</f>
        <v>4257261.7699999996</v>
      </c>
      <c r="D51" s="41">
        <f>D50+D31</f>
        <v>135432.15</v>
      </c>
      <c r="E51" s="41">
        <f>E50+E31</f>
        <v>875634.83000000007</v>
      </c>
      <c r="F51" s="41">
        <f>F50+F31</f>
        <v>0</v>
      </c>
      <c r="G51" s="41">
        <f>G50+G31</f>
        <v>1975736.89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14953923</v>
      </c>
      <c r="D56" s="95">
        <f>'DOE25'!G60</f>
        <v>0</v>
      </c>
      <c r="E56" s="95">
        <f>'DOE25'!H60</f>
        <v>0</v>
      </c>
      <c r="F56" s="95">
        <f>'DOE25'!I60</f>
        <v>0</v>
      </c>
      <c r="G56" s="95">
        <f>'DOE25'!J60</f>
        <v>0</v>
      </c>
      <c r="H56"/>
      <c r="I56"/>
    </row>
    <row r="57" spans="1:9" x14ac:dyDescent="0.2">
      <c r="A57" s="1" t="s">
        <v>164</v>
      </c>
      <c r="B57" s="6" t="s">
        <v>165</v>
      </c>
      <c r="C57" s="95">
        <f>'DOE25'!F79</f>
        <v>10616009.050000001</v>
      </c>
      <c r="D57" s="24" t="s">
        <v>288</v>
      </c>
      <c r="E57" s="95">
        <f>'DOE25'!H79</f>
        <v>0</v>
      </c>
      <c r="F57" s="24" t="s">
        <v>288</v>
      </c>
      <c r="G57" s="24" t="s">
        <v>288</v>
      </c>
      <c r="H57"/>
      <c r="I57"/>
    </row>
    <row r="58" spans="1:9" x14ac:dyDescent="0.2">
      <c r="A58" s="1" t="s">
        <v>166</v>
      </c>
      <c r="B58" s="6" t="s">
        <v>167</v>
      </c>
      <c r="C58" s="95">
        <f>'DOE25'!F94</f>
        <v>15206.07</v>
      </c>
      <c r="D58" s="24" t="s">
        <v>288</v>
      </c>
      <c r="E58" s="95">
        <f>'DOE25'!H94</f>
        <v>0</v>
      </c>
      <c r="F58" s="24" t="s">
        <v>288</v>
      </c>
      <c r="G58" s="24" t="s">
        <v>288</v>
      </c>
      <c r="H58"/>
      <c r="I58"/>
    </row>
    <row r="59" spans="1:9" x14ac:dyDescent="0.2">
      <c r="A59" s="69" t="s">
        <v>168</v>
      </c>
      <c r="B59" s="37" t="s">
        <v>169</v>
      </c>
      <c r="C59" s="95">
        <f>'DOE25'!F96</f>
        <v>7655.19</v>
      </c>
      <c r="D59" s="95">
        <f>'DOE25'!G96</f>
        <v>0</v>
      </c>
      <c r="E59" s="95">
        <f>'DOE25'!H96</f>
        <v>0</v>
      </c>
      <c r="F59" s="95">
        <f>'DOE25'!I96</f>
        <v>0</v>
      </c>
      <c r="G59" s="95">
        <f>'DOE25'!J96</f>
        <v>3728.79</v>
      </c>
      <c r="H59"/>
      <c r="I59"/>
    </row>
    <row r="60" spans="1:9" x14ac:dyDescent="0.2">
      <c r="A60" s="1" t="s">
        <v>170</v>
      </c>
      <c r="B60" s="118" t="s">
        <v>171</v>
      </c>
      <c r="C60" s="24" t="s">
        <v>288</v>
      </c>
      <c r="D60" s="95">
        <f>'DOE25'!G97</f>
        <v>1715.29</v>
      </c>
      <c r="E60" s="24" t="s">
        <v>288</v>
      </c>
      <c r="F60" s="24" t="s">
        <v>288</v>
      </c>
      <c r="G60" s="24" t="s">
        <v>288</v>
      </c>
      <c r="H60"/>
      <c r="I60"/>
    </row>
    <row r="61" spans="1:9" ht="12" thickBot="1" x14ac:dyDescent="0.25">
      <c r="A61" s="1" t="s">
        <v>172</v>
      </c>
      <c r="B61" s="118" t="s">
        <v>173</v>
      </c>
      <c r="C61" s="95">
        <f>SUM('DOE25'!F98:F110)</f>
        <v>942570.75</v>
      </c>
      <c r="D61" s="95">
        <f>SUM('DOE25'!G98:G110)</f>
        <v>0</v>
      </c>
      <c r="E61" s="95">
        <f>SUM('DOE25'!H98:H110)</f>
        <v>251835.39</v>
      </c>
      <c r="F61" s="95">
        <f>SUM('DOE25'!I98:I110)</f>
        <v>0</v>
      </c>
      <c r="G61" s="95">
        <f>SUM('DOE25'!J98:J110)</f>
        <v>0</v>
      </c>
      <c r="H61"/>
      <c r="I61"/>
    </row>
    <row r="62" spans="1:9" ht="12.75" thickTop="1" thickBot="1" x14ac:dyDescent="0.25">
      <c r="A62" s="29" t="s">
        <v>174</v>
      </c>
      <c r="B62" s="6"/>
      <c r="C62" s="130">
        <f>SUM(C57:C61)</f>
        <v>11581441.060000001</v>
      </c>
      <c r="D62" s="130">
        <f>SUM(D57:D61)</f>
        <v>1715.29</v>
      </c>
      <c r="E62" s="130">
        <f>SUM(E57:E61)</f>
        <v>251835.39</v>
      </c>
      <c r="F62" s="130">
        <f>SUM(F57:F61)</f>
        <v>0</v>
      </c>
      <c r="G62" s="130">
        <f>SUM(G57:G61)</f>
        <v>3728.79</v>
      </c>
      <c r="H62"/>
      <c r="I62"/>
    </row>
    <row r="63" spans="1:9" ht="12" thickTop="1" x14ac:dyDescent="0.2">
      <c r="A63" s="29" t="s">
        <v>175</v>
      </c>
      <c r="B63" s="6"/>
      <c r="C63" s="22">
        <f>C56+C62</f>
        <v>26535364.060000002</v>
      </c>
      <c r="D63" s="22">
        <f>D56+D62</f>
        <v>1715.29</v>
      </c>
      <c r="E63" s="22">
        <f>E56+E62</f>
        <v>251835.39</v>
      </c>
      <c r="F63" s="22">
        <f>F56+F62</f>
        <v>0</v>
      </c>
      <c r="G63" s="22">
        <f>G56+G62</f>
        <v>3728.79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3155017.3</v>
      </c>
      <c r="D66" s="24" t="s">
        <v>288</v>
      </c>
      <c r="E66" s="24" t="s">
        <v>288</v>
      </c>
      <c r="F66" s="24" t="s">
        <v>288</v>
      </c>
      <c r="G66" s="24" t="s">
        <v>288</v>
      </c>
      <c r="H66"/>
      <c r="I66"/>
    </row>
    <row r="67" spans="1:9" x14ac:dyDescent="0.2">
      <c r="A67" s="1" t="s">
        <v>770</v>
      </c>
      <c r="B67" s="6">
        <v>3112</v>
      </c>
      <c r="C67" s="95">
        <f>'DOE25'!F118</f>
        <v>3313297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7980.84</v>
      </c>
      <c r="D69" s="95">
        <f>'DOE25'!G120</f>
        <v>0</v>
      </c>
      <c r="E69" s="95">
        <f>'DOE25'!H120</f>
        <v>0</v>
      </c>
      <c r="F69" s="95">
        <f>'DOE25'!I120</f>
        <v>0</v>
      </c>
      <c r="G69" s="95">
        <f>'DOE25'!J120</f>
        <v>0</v>
      </c>
      <c r="H69"/>
      <c r="I69"/>
    </row>
    <row r="70" spans="1:9" ht="12" thickTop="1" x14ac:dyDescent="0.2">
      <c r="A70" s="29" t="s">
        <v>252</v>
      </c>
      <c r="B70" s="2"/>
      <c r="C70" s="139">
        <f>SUM(C66:C69)</f>
        <v>6476295.1399999997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1059831.67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279629.75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12720.82</v>
      </c>
      <c r="E77" s="95">
        <f>SUM('DOE25'!H131:H135)</f>
        <v>0</v>
      </c>
      <c r="F77" s="95">
        <f>SUM('DOE25'!I131:I135)</f>
        <v>0</v>
      </c>
      <c r="G77" s="95">
        <f>SUM('DOE25'!J131:J135)</f>
        <v>0</v>
      </c>
      <c r="H77"/>
      <c r="I77"/>
    </row>
    <row r="78" spans="1:9" ht="12.75" thickTop="1" thickBot="1" x14ac:dyDescent="0.25">
      <c r="A78" s="29" t="s">
        <v>259</v>
      </c>
      <c r="B78" s="6"/>
      <c r="C78" s="130">
        <f>SUM(C72:C77)</f>
        <v>1339461.42</v>
      </c>
      <c r="D78" s="130">
        <f>SUM(D72:D77)</f>
        <v>12720.82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7815756.5599999996</v>
      </c>
      <c r="D81" s="130">
        <f>SUM(D79:D80)+D78+D70</f>
        <v>12720.82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62230.73</v>
      </c>
      <c r="D88" s="331">
        <f>SUM('DOE25'!G153:G162)</f>
        <v>539338.99</v>
      </c>
      <c r="E88" s="331">
        <f>SUM('DOE25'!H153:H162)</f>
        <v>2678912.5100000002</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785.59</v>
      </c>
      <c r="D90" s="24" t="s">
        <v>288</v>
      </c>
      <c r="E90" s="24" t="s">
        <v>288</v>
      </c>
      <c r="F90" s="24" t="s">
        <v>288</v>
      </c>
      <c r="G90" s="24" t="s">
        <v>288</v>
      </c>
    </row>
    <row r="91" spans="1:9" ht="12.75" thickTop="1" thickBot="1" x14ac:dyDescent="0.25">
      <c r="A91" s="33" t="s">
        <v>750</v>
      </c>
      <c r="C91" s="131">
        <f>SUM(C85:C90)</f>
        <v>63016.32</v>
      </c>
      <c r="D91" s="131">
        <f>SUM(D85:D90)</f>
        <v>539338.99</v>
      </c>
      <c r="E91" s="131">
        <f>SUM(E85:E90)</f>
        <v>2678912.5100000002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106223.89</v>
      </c>
      <c r="E96" s="95">
        <f>'DOE25'!H180</f>
        <v>0</v>
      </c>
      <c r="F96" s="95">
        <f>'DOE25'!I180</f>
        <v>0</v>
      </c>
      <c r="G96" s="95">
        <f>'DOE25'!J180</f>
        <v>381429</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113425.41</v>
      </c>
      <c r="D99" s="95">
        <f>'DOE25'!G186</f>
        <v>0</v>
      </c>
      <c r="E99" s="95">
        <f>'DOE25'!H186</f>
        <v>0</v>
      </c>
      <c r="F99" s="95">
        <f>'DOE25'!I186</f>
        <v>0</v>
      </c>
      <c r="G99" s="24" t="s">
        <v>288</v>
      </c>
    </row>
    <row r="100" spans="1:7" x14ac:dyDescent="0.2">
      <c r="A100" t="s">
        <v>757</v>
      </c>
      <c r="B100" s="32" t="s">
        <v>190</v>
      </c>
      <c r="C100" s="95">
        <f>SUM('DOE25'!F187:F188)</f>
        <v>39787.5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153212.91</v>
      </c>
      <c r="D103" s="86">
        <f>SUM(D93:D102)</f>
        <v>106223.89</v>
      </c>
      <c r="E103" s="86">
        <f>SUM(E93:E102)</f>
        <v>0</v>
      </c>
      <c r="F103" s="86">
        <f>SUM(F93:F102)</f>
        <v>0</v>
      </c>
      <c r="G103" s="86">
        <f>SUM(G93:G102)</f>
        <v>381429</v>
      </c>
    </row>
    <row r="104" spans="1:7" ht="12.75" thickTop="1" thickBot="1" x14ac:dyDescent="0.25">
      <c r="A104" s="33" t="s">
        <v>761</v>
      </c>
      <c r="C104" s="86">
        <f>C63+C81+C91+C103</f>
        <v>34567349.850000001</v>
      </c>
      <c r="D104" s="86">
        <f>D63+D81+D91+D103</f>
        <v>659998.99</v>
      </c>
      <c r="E104" s="86">
        <f>E63+E81+E91+E103</f>
        <v>2930747.9000000004</v>
      </c>
      <c r="F104" s="86">
        <f>F63+F81+F91+F103</f>
        <v>0</v>
      </c>
      <c r="G104" s="86">
        <f>G63+G81+G103</f>
        <v>385157.79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12899615.66</v>
      </c>
      <c r="D109" s="24" t="s">
        <v>288</v>
      </c>
      <c r="E109" s="95">
        <f>('DOE25'!L277)+('DOE25'!L296)+('DOE25'!L315)</f>
        <v>1024646.84</v>
      </c>
      <c r="F109" s="24" t="s">
        <v>288</v>
      </c>
      <c r="G109" s="24" t="s">
        <v>288</v>
      </c>
    </row>
    <row r="110" spans="1:7" x14ac:dyDescent="0.2">
      <c r="A110" t="s">
        <v>198</v>
      </c>
      <c r="B110" s="32" t="s">
        <v>199</v>
      </c>
      <c r="C110" s="95">
        <f>('DOE25'!L199)+('DOE25'!L217)+('DOE25'!L235)</f>
        <v>4596787.0600000005</v>
      </c>
      <c r="D110" s="24" t="s">
        <v>288</v>
      </c>
      <c r="E110" s="95">
        <f>('DOE25'!L278)+('DOE25'!L297)+('DOE25'!L316)</f>
        <v>162742.24</v>
      </c>
      <c r="F110" s="24" t="s">
        <v>288</v>
      </c>
      <c r="G110" s="24" t="s">
        <v>288</v>
      </c>
    </row>
    <row r="111" spans="1:7" x14ac:dyDescent="0.2">
      <c r="A111" t="s">
        <v>200</v>
      </c>
      <c r="B111" s="32" t="s">
        <v>165</v>
      </c>
      <c r="C111" s="95">
        <f>('DOE25'!L200)+('DOE25'!L218)+('DOE25'!L236)</f>
        <v>1013452.83</v>
      </c>
      <c r="D111" s="24" t="s">
        <v>288</v>
      </c>
      <c r="E111" s="95">
        <f>('DOE25'!L279)+('DOE25'!L298)+('DOE25'!L317)</f>
        <v>140716.84000000003</v>
      </c>
      <c r="F111" s="24" t="s">
        <v>288</v>
      </c>
      <c r="G111" s="24" t="s">
        <v>288</v>
      </c>
    </row>
    <row r="112" spans="1:7" x14ac:dyDescent="0.2">
      <c r="A112" t="s">
        <v>201</v>
      </c>
      <c r="B112" s="32" t="s">
        <v>167</v>
      </c>
      <c r="C112" s="95">
        <f>('DOE25'!L201)+('DOE25'!L219)+('DOE25'!L237)</f>
        <v>601732.40999999992</v>
      </c>
      <c r="D112" s="24" t="s">
        <v>288</v>
      </c>
      <c r="E112" s="95">
        <f>+('DOE25'!L280)+('DOE25'!L299)+('DOE25'!L318)</f>
        <v>324176.32999999996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19111587.959999997</v>
      </c>
      <c r="D115" s="86">
        <f>SUM(D109:D114)</f>
        <v>0</v>
      </c>
      <c r="E115" s="86">
        <f>SUM(E109:E114)</f>
        <v>1652282.25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2611159.41</v>
      </c>
      <c r="D118" s="24" t="s">
        <v>288</v>
      </c>
      <c r="E118" s="95">
        <f>+('DOE25'!L282)+('DOE25'!L301)+('DOE25'!L320)</f>
        <v>293862.84999999998</v>
      </c>
      <c r="F118" s="24" t="s">
        <v>288</v>
      </c>
      <c r="G118" s="24" t="s">
        <v>288</v>
      </c>
    </row>
    <row r="119" spans="1:7" x14ac:dyDescent="0.2">
      <c r="A119" t="s">
        <v>208</v>
      </c>
      <c r="B119" s="32" t="s">
        <v>209</v>
      </c>
      <c r="C119" s="95">
        <f>('DOE25'!L204)+('DOE25'!L222)+('DOE25'!L240)</f>
        <v>605553.2300000001</v>
      </c>
      <c r="D119" s="24" t="s">
        <v>288</v>
      </c>
      <c r="E119" s="95">
        <f>+('DOE25'!L283)+('DOE25'!L302)+('DOE25'!L321)</f>
        <v>547121.82000000007</v>
      </c>
      <c r="F119" s="24" t="s">
        <v>288</v>
      </c>
      <c r="G119" s="24" t="s">
        <v>288</v>
      </c>
    </row>
    <row r="120" spans="1:7" x14ac:dyDescent="0.2">
      <c r="A120" t="s">
        <v>210</v>
      </c>
      <c r="B120" s="32" t="s">
        <v>211</v>
      </c>
      <c r="C120" s="95">
        <f>('DOE25'!L205)+('DOE25'!L223)+('DOE25'!L241)</f>
        <v>1396337.03</v>
      </c>
      <c r="D120" s="24" t="s">
        <v>288</v>
      </c>
      <c r="E120" s="95">
        <f>+('DOE25'!L284)+('DOE25'!L303)+('DOE25'!L322)</f>
        <v>42457.83</v>
      </c>
      <c r="F120" s="24" t="s">
        <v>288</v>
      </c>
      <c r="G120" s="24" t="s">
        <v>288</v>
      </c>
    </row>
    <row r="121" spans="1:7" x14ac:dyDescent="0.2">
      <c r="A121" t="s">
        <v>212</v>
      </c>
      <c r="B121" s="32" t="s">
        <v>213</v>
      </c>
      <c r="C121" s="95">
        <f>('DOE25'!L206)+('DOE25'!L224)+('DOE25'!L242)</f>
        <v>1945613.17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392.75</v>
      </c>
      <c r="F122" s="24" t="s">
        <v>288</v>
      </c>
      <c r="G122" s="24" t="s">
        <v>288</v>
      </c>
    </row>
    <row r="123" spans="1:7" x14ac:dyDescent="0.2">
      <c r="A123" t="s">
        <v>216</v>
      </c>
      <c r="B123" s="32" t="s">
        <v>217</v>
      </c>
      <c r="C123" s="95">
        <f>('DOE25'!L208)+('DOE25'!L226)+('DOE25'!L244)</f>
        <v>3968355.5199999996</v>
      </c>
      <c r="D123" s="24" t="s">
        <v>288</v>
      </c>
      <c r="E123" s="95">
        <f>+('DOE25'!L287)+('DOE25'!L306)+('DOE25'!L325)</f>
        <v>215882.72999999998</v>
      </c>
      <c r="F123" s="24" t="s">
        <v>288</v>
      </c>
      <c r="G123" s="24" t="s">
        <v>288</v>
      </c>
    </row>
    <row r="124" spans="1:7" x14ac:dyDescent="0.2">
      <c r="A124" t="s">
        <v>218</v>
      </c>
      <c r="B124" s="32" t="s">
        <v>219</v>
      </c>
      <c r="C124" s="95">
        <f>('DOE25'!L209)+('DOE25'!L227)+('DOE25'!L245+'DOE25'!L255)</f>
        <v>734377.81</v>
      </c>
      <c r="D124" s="24" t="s">
        <v>288</v>
      </c>
      <c r="E124" s="95">
        <f>+('DOE25'!L288)+('DOE25'!L307)+('DOE25'!L326)</f>
        <v>8086.71</v>
      </c>
      <c r="F124" s="24" t="s">
        <v>288</v>
      </c>
      <c r="G124" s="24" t="s">
        <v>288</v>
      </c>
    </row>
    <row r="125" spans="1:7" x14ac:dyDescent="0.2">
      <c r="A125" t="s">
        <v>220</v>
      </c>
      <c r="B125" s="32" t="s">
        <v>221</v>
      </c>
      <c r="C125" s="95">
        <f>('DOE25'!L210)+('DOE25'!L228)+('DOE25'!L246)</f>
        <v>3291</v>
      </c>
      <c r="D125" s="24" t="s">
        <v>288</v>
      </c>
      <c r="E125" s="95">
        <f>+('DOE25'!L289)+('DOE25'!L308)+('DOE25'!L327)</f>
        <v>2796.69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659998.99</v>
      </c>
      <c r="E127" s="24" t="s">
        <v>288</v>
      </c>
      <c r="F127" s="24" t="s">
        <v>288</v>
      </c>
      <c r="G127" s="24" t="s">
        <v>288</v>
      </c>
    </row>
    <row r="128" spans="1:7" ht="12.75" thickTop="1" thickBot="1" x14ac:dyDescent="0.25">
      <c r="A128" s="33" t="s">
        <v>226</v>
      </c>
      <c r="C128" s="86">
        <f>SUM(C118:C127)</f>
        <v>11264687.17</v>
      </c>
      <c r="D128" s="86">
        <f>SUM(D118:D127)</f>
        <v>659998.99</v>
      </c>
      <c r="E128" s="86">
        <f>SUM(E118:E127)</f>
        <v>1110601.3799999999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40040</v>
      </c>
      <c r="G130" s="24" t="s">
        <v>288</v>
      </c>
    </row>
    <row r="131" spans="1:7" x14ac:dyDescent="0.2">
      <c r="A131" t="s">
        <v>229</v>
      </c>
      <c r="B131" s="32">
        <v>5110</v>
      </c>
      <c r="C131" s="95">
        <f>'DOE25'!L261</f>
        <v>2095000</v>
      </c>
      <c r="D131" s="24" t="s">
        <v>288</v>
      </c>
      <c r="E131" s="129">
        <f>'DOE25'!L342</f>
        <v>0</v>
      </c>
      <c r="F131" s="24" t="s">
        <v>288</v>
      </c>
      <c r="G131" s="24" t="s">
        <v>288</v>
      </c>
    </row>
    <row r="132" spans="1:7" x14ac:dyDescent="0.2">
      <c r="A132" t="s">
        <v>230</v>
      </c>
      <c r="B132" s="32">
        <v>5120</v>
      </c>
      <c r="C132" s="95">
        <f>'DOE25'!L262</f>
        <v>456462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153212.91</v>
      </c>
    </row>
    <row r="135" spans="1:7" x14ac:dyDescent="0.2">
      <c r="A135" t="s">
        <v>233</v>
      </c>
      <c r="B135" s="32" t="s">
        <v>234</v>
      </c>
      <c r="C135" s="95">
        <f>'DOE25'!L264</f>
        <v>106223.89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250377.15</v>
      </c>
      <c r="D138" s="24" t="s">
        <v>288</v>
      </c>
      <c r="E138" s="24" t="s">
        <v>288</v>
      </c>
      <c r="F138" s="24" t="s">
        <v>288</v>
      </c>
      <c r="G138" s="24" t="s">
        <v>288</v>
      </c>
    </row>
    <row r="139" spans="1:7" x14ac:dyDescent="0.2">
      <c r="A139" t="s">
        <v>239</v>
      </c>
      <c r="B139" s="32">
        <v>5252</v>
      </c>
      <c r="C139" s="95">
        <f>'DOE25'!L402</f>
        <v>134706.57</v>
      </c>
      <c r="D139" s="24" t="s">
        <v>288</v>
      </c>
      <c r="E139" s="24" t="s">
        <v>288</v>
      </c>
      <c r="F139" s="24" t="s">
        <v>288</v>
      </c>
      <c r="G139" s="24" t="s">
        <v>288</v>
      </c>
    </row>
    <row r="140" spans="1:7" x14ac:dyDescent="0.2">
      <c r="A140" t="s">
        <v>240</v>
      </c>
      <c r="B140" s="32">
        <v>5253</v>
      </c>
      <c r="C140" s="95">
        <f>'DOE25'!L408</f>
        <v>74.069999999999993</v>
      </c>
      <c r="D140" s="24" t="s">
        <v>288</v>
      </c>
      <c r="E140" s="24" t="s">
        <v>288</v>
      </c>
      <c r="F140" s="24" t="s">
        <v>288</v>
      </c>
      <c r="G140" s="24" t="s">
        <v>288</v>
      </c>
    </row>
    <row r="141" spans="1:7" x14ac:dyDescent="0.2">
      <c r="A141" t="s">
        <v>762</v>
      </c>
      <c r="B141" s="32">
        <v>5254</v>
      </c>
      <c r="C141" s="95">
        <f>('DOE25'!L267+'DOE25'!K348) - (C138+C139+C140)</f>
        <v>-3728.789999999979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3039114.8899999997</v>
      </c>
      <c r="D144" s="141">
        <f>SUM(D130:D143)</f>
        <v>0</v>
      </c>
      <c r="E144" s="141">
        <f>SUM(E130:E143)</f>
        <v>0</v>
      </c>
      <c r="F144" s="141">
        <f>SUM(F130:F143)</f>
        <v>40040</v>
      </c>
      <c r="G144" s="141">
        <f>SUM(G130:G143)</f>
        <v>153212.91</v>
      </c>
    </row>
    <row r="145" spans="1:9" ht="12.75" thickTop="1" thickBot="1" x14ac:dyDescent="0.25">
      <c r="A145" s="33" t="s">
        <v>244</v>
      </c>
      <c r="C145" s="86">
        <f>(C115+C128+C144)</f>
        <v>33415390.019999996</v>
      </c>
      <c r="D145" s="86">
        <f>(D115+D128+D144)</f>
        <v>659998.99</v>
      </c>
      <c r="E145" s="86">
        <f>(E115+E128+E144)</f>
        <v>2762883.63</v>
      </c>
      <c r="F145" s="86">
        <f>(F115+F128+F144)</f>
        <v>40040</v>
      </c>
      <c r="G145" s="86">
        <f>(G115+G128+G144)</f>
        <v>153212.91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0</v>
      </c>
      <c r="G151" s="24" t="s">
        <v>288</v>
      </c>
    </row>
    <row r="152" spans="1:9" x14ac:dyDescent="0.2">
      <c r="A152" s="136" t="s">
        <v>28</v>
      </c>
      <c r="B152" s="152" t="str">
        <f>'DOE25'!F492</f>
        <v>12/03</v>
      </c>
      <c r="C152" s="152" t="str">
        <f>'DOE25'!G492</f>
        <v>7/16</v>
      </c>
      <c r="D152" s="152">
        <f>'DOE25'!H492</f>
        <v>0.41176470588235292</v>
      </c>
      <c r="E152" s="152">
        <f>'DOE25'!I492</f>
        <v>0.33333333333333331</v>
      </c>
      <c r="F152" s="152">
        <f>'DOE25'!J492</f>
        <v>0</v>
      </c>
      <c r="G152" s="24" t="s">
        <v>288</v>
      </c>
    </row>
    <row r="153" spans="1:9" x14ac:dyDescent="0.2">
      <c r="A153" s="136" t="s">
        <v>29</v>
      </c>
      <c r="B153" s="152" t="str">
        <f>'DOE25'!F493</f>
        <v>112024</v>
      </c>
      <c r="C153" s="152" t="str">
        <f>'DOE25'!G493</f>
        <v>812036</v>
      </c>
      <c r="D153" s="152">
        <f>'DOE25'!H493</f>
        <v>812037</v>
      </c>
      <c r="E153" s="152">
        <f>'DOE25'!I493</f>
        <v>812038</v>
      </c>
      <c r="F153" s="152">
        <f>'DOE25'!J493</f>
        <v>0</v>
      </c>
      <c r="G153" s="24" t="s">
        <v>288</v>
      </c>
    </row>
    <row r="154" spans="1:9" x14ac:dyDescent="0.2">
      <c r="A154" s="136" t="s">
        <v>30</v>
      </c>
      <c r="B154" s="137">
        <f>'DOE25'!F494</f>
        <v>42120000</v>
      </c>
      <c r="C154" s="137">
        <f>'DOE25'!G494</f>
        <v>1837000</v>
      </c>
      <c r="D154" s="137">
        <f>'DOE25'!H494</f>
        <v>1871000</v>
      </c>
      <c r="E154" s="137">
        <f>'DOE25'!I494</f>
        <v>1122900</v>
      </c>
      <c r="F154" s="137">
        <f>'DOE25'!J494</f>
        <v>0</v>
      </c>
      <c r="G154" s="24" t="s">
        <v>288</v>
      </c>
    </row>
    <row r="155" spans="1:9" x14ac:dyDescent="0.2">
      <c r="A155" s="136" t="s">
        <v>31</v>
      </c>
      <c r="B155" s="137">
        <f>'DOE25'!F495</f>
        <v>4</v>
      </c>
      <c r="C155" s="137">
        <f>'DOE25'!G495</f>
        <v>2.5</v>
      </c>
      <c r="D155" s="137">
        <f>'DOE25'!H495</f>
        <v>2.66</v>
      </c>
      <c r="E155" s="137">
        <f>'DOE25'!I495</f>
        <v>3.24</v>
      </c>
      <c r="F155" s="137">
        <f>'DOE25'!J495</f>
        <v>0</v>
      </c>
      <c r="G155" s="24" t="s">
        <v>288</v>
      </c>
    </row>
    <row r="156" spans="1:9" x14ac:dyDescent="0.2">
      <c r="A156" s="22" t="s">
        <v>32</v>
      </c>
      <c r="B156" s="137">
        <f>'DOE25'!F496</f>
        <v>7365000</v>
      </c>
      <c r="C156" s="137">
        <f>'DOE25'!G496</f>
        <v>1559300</v>
      </c>
      <c r="D156" s="137">
        <f>'DOE25'!H496</f>
        <v>1685000</v>
      </c>
      <c r="E156" s="137">
        <f>'DOE25'!I496</f>
        <v>1065000</v>
      </c>
      <c r="F156" s="137">
        <f>'DOE25'!J496</f>
        <v>0</v>
      </c>
      <c r="G156" s="138">
        <f>SUM(B156:F156)</f>
        <v>11674300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1845000</v>
      </c>
      <c r="C158" s="137">
        <f>'DOE25'!G498</f>
        <v>95000</v>
      </c>
      <c r="D158" s="137">
        <f>'DOE25'!H498</f>
        <v>95000</v>
      </c>
      <c r="E158" s="137">
        <f>'DOE25'!I498</f>
        <v>60000</v>
      </c>
      <c r="F158" s="137">
        <f>'DOE25'!J498</f>
        <v>0</v>
      </c>
      <c r="G158" s="138">
        <f t="shared" si="0"/>
        <v>2095000</v>
      </c>
    </row>
    <row r="159" spans="1:9" x14ac:dyDescent="0.2">
      <c r="A159" s="22" t="s">
        <v>35</v>
      </c>
      <c r="B159" s="137">
        <f>'DOE25'!F499</f>
        <v>5520000</v>
      </c>
      <c r="C159" s="137">
        <f>'DOE25'!G499</f>
        <v>1464300</v>
      </c>
      <c r="D159" s="137">
        <f>'DOE25'!H499</f>
        <v>1590000</v>
      </c>
      <c r="E159" s="137">
        <f>'DOE25'!I499</f>
        <v>1005000</v>
      </c>
      <c r="F159" s="137">
        <f>'DOE25'!J499</f>
        <v>0</v>
      </c>
      <c r="G159" s="138">
        <f t="shared" si="0"/>
        <v>9579300</v>
      </c>
    </row>
    <row r="160" spans="1:9" x14ac:dyDescent="0.2">
      <c r="A160" s="22" t="s">
        <v>36</v>
      </c>
      <c r="B160" s="137">
        <f>'DOE25'!F500</f>
        <v>371274</v>
      </c>
      <c r="C160" s="137">
        <f>'DOE25'!G500</f>
        <v>376447.75</v>
      </c>
      <c r="D160" s="137">
        <f>'DOE25'!H500</f>
        <v>513115</v>
      </c>
      <c r="E160" s="137">
        <f>'DOE25'!I500</f>
        <v>348342.04</v>
      </c>
      <c r="F160" s="137">
        <f>'DOE25'!J500</f>
        <v>0</v>
      </c>
      <c r="G160" s="138">
        <f t="shared" si="0"/>
        <v>1609178.79</v>
      </c>
    </row>
    <row r="161" spans="1:7" x14ac:dyDescent="0.2">
      <c r="A161" s="22" t="s">
        <v>37</v>
      </c>
      <c r="B161" s="137">
        <f>'DOE25'!F501</f>
        <v>5891274</v>
      </c>
      <c r="C161" s="137">
        <f>'DOE25'!G501</f>
        <v>1840747.75</v>
      </c>
      <c r="D161" s="137">
        <f>'DOE25'!H501</f>
        <v>2103115</v>
      </c>
      <c r="E161" s="137">
        <f>'DOE25'!I501</f>
        <v>1353342.04</v>
      </c>
      <c r="F161" s="137">
        <f>'DOE25'!J501</f>
        <v>0</v>
      </c>
      <c r="G161" s="138">
        <f t="shared" si="0"/>
        <v>11188478.789999999</v>
      </c>
    </row>
    <row r="162" spans="1:7" x14ac:dyDescent="0.2">
      <c r="A162" s="22" t="s">
        <v>38</v>
      </c>
      <c r="B162" s="137">
        <f>'DOE25'!F502</f>
        <v>1840000</v>
      </c>
      <c r="C162" s="137">
        <f>'DOE25'!G502</f>
        <v>95000</v>
      </c>
      <c r="D162" s="137">
        <f>'DOE25'!H502</f>
        <v>95000</v>
      </c>
      <c r="E162" s="137">
        <f>'DOE25'!I502</f>
        <v>60000</v>
      </c>
      <c r="F162" s="137">
        <f>'DOE25'!J502</f>
        <v>0</v>
      </c>
      <c r="G162" s="138">
        <f t="shared" si="0"/>
        <v>2090000</v>
      </c>
    </row>
    <row r="163" spans="1:7" x14ac:dyDescent="0.2">
      <c r="A163" s="22" t="s">
        <v>39</v>
      </c>
      <c r="B163" s="137">
        <f>'DOE25'!F503</f>
        <v>205187</v>
      </c>
      <c r="C163" s="137">
        <f>'DOE25'!G503</f>
        <v>50471</v>
      </c>
      <c r="D163" s="137">
        <f>'DOE25'!H503</f>
        <v>65867.5</v>
      </c>
      <c r="E163" s="137">
        <f>'DOE25'!I503</f>
        <v>41543.760000000002</v>
      </c>
      <c r="F163" s="137">
        <f>'DOE25'!J503</f>
        <v>0</v>
      </c>
      <c r="G163" s="138">
        <f t="shared" si="0"/>
        <v>363069.26</v>
      </c>
    </row>
    <row r="164" spans="1:7" x14ac:dyDescent="0.2">
      <c r="A164" s="22" t="s">
        <v>246</v>
      </c>
      <c r="B164" s="137">
        <f>'DOE25'!F504</f>
        <v>2045187</v>
      </c>
      <c r="C164" s="137">
        <f>'DOE25'!G504</f>
        <v>145471</v>
      </c>
      <c r="D164" s="137">
        <f>'DOE25'!H504</f>
        <v>160867.5</v>
      </c>
      <c r="E164" s="137">
        <f>'DOE25'!I504</f>
        <v>101543.76000000001</v>
      </c>
      <c r="F164" s="137">
        <f>'DOE25'!J504</f>
        <v>0</v>
      </c>
      <c r="G164" s="138">
        <f t="shared" si="0"/>
        <v>2453069.2599999998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CONWAY SCHOOL DISTRICT</v>
      </c>
    </row>
    <row r="3" spans="1:4" x14ac:dyDescent="0.2">
      <c r="B3" s="188" t="s">
        <v>1666</v>
      </c>
    </row>
    <row r="4" spans="1:4" x14ac:dyDescent="0.2">
      <c r="B4" t="s">
        <v>61</v>
      </c>
      <c r="C4" s="179">
        <f>IF('DOE25'!F666+'DOE25'!F671=0,0,ROUND('DOE25'!F673,0))</f>
        <v>21128</v>
      </c>
    </row>
    <row r="5" spans="1:4" x14ac:dyDescent="0.2">
      <c r="B5" t="s">
        <v>700</v>
      </c>
      <c r="C5" s="179">
        <f>IF('DOE25'!G666+'DOE25'!G671=0,0,ROUND('DOE25'!G673,0))</f>
        <v>20982</v>
      </c>
    </row>
    <row r="6" spans="1:4" x14ac:dyDescent="0.2">
      <c r="B6" t="s">
        <v>62</v>
      </c>
      <c r="C6" s="179">
        <f>IF('DOE25'!H666+'DOE25'!H671=0,0,ROUND('DOE25'!H673,0))</f>
        <v>18648</v>
      </c>
    </row>
    <row r="7" spans="1:4" x14ac:dyDescent="0.2">
      <c r="B7" t="s">
        <v>701</v>
      </c>
      <c r="C7" s="179">
        <f>IF('DOE25'!I666+'DOE25'!I671=0,0,ROUND('DOE25'!I673,0))</f>
        <v>19976</v>
      </c>
    </row>
    <row r="9" spans="1:4" x14ac:dyDescent="0.2">
      <c r="A9" s="187" t="s">
        <v>94</v>
      </c>
      <c r="B9" s="188" t="s">
        <v>1671</v>
      </c>
      <c r="C9" s="181" t="s">
        <v>720</v>
      </c>
      <c r="D9" s="181" t="s">
        <v>721</v>
      </c>
    </row>
    <row r="10" spans="1:4" x14ac:dyDescent="0.2">
      <c r="A10">
        <v>1100</v>
      </c>
      <c r="B10" t="s">
        <v>702</v>
      </c>
      <c r="C10" s="179">
        <f>ROUND('DOE25'!L198+'DOE25'!L216+'DOE25'!L234+'DOE25'!L277+'DOE25'!L296+'DOE25'!L315,0)</f>
        <v>13924263</v>
      </c>
      <c r="D10" s="182">
        <f>ROUND((C10/$C$28)*100,1)</f>
        <v>40.700000000000003</v>
      </c>
    </row>
    <row r="11" spans="1:4" x14ac:dyDescent="0.2">
      <c r="A11">
        <v>1200</v>
      </c>
      <c r="B11" t="s">
        <v>703</v>
      </c>
      <c r="C11" s="179">
        <f>ROUND('DOE25'!L199+'DOE25'!L217+'DOE25'!L235+'DOE25'!L278+'DOE25'!L297+'DOE25'!L316,0)</f>
        <v>4759529</v>
      </c>
      <c r="D11" s="182">
        <f>ROUND((C11/$C$28)*100,1)</f>
        <v>13.9</v>
      </c>
    </row>
    <row r="12" spans="1:4" x14ac:dyDescent="0.2">
      <c r="A12">
        <v>1300</v>
      </c>
      <c r="B12" t="s">
        <v>704</v>
      </c>
      <c r="C12" s="179">
        <f>ROUND('DOE25'!L200+'DOE25'!L218+'DOE25'!L236+'DOE25'!L279+'DOE25'!L298+'DOE25'!L317,0)</f>
        <v>1154170</v>
      </c>
      <c r="D12" s="182">
        <f>ROUND((C12/$C$28)*100,1)</f>
        <v>3.4</v>
      </c>
    </row>
    <row r="13" spans="1:4" x14ac:dyDescent="0.2">
      <c r="A13">
        <v>1400</v>
      </c>
      <c r="B13" t="s">
        <v>705</v>
      </c>
      <c r="C13" s="179">
        <f>ROUND('DOE25'!L201+'DOE25'!L219+'DOE25'!L237+'DOE25'!L280+'DOE25'!L299+'DOE25'!L318,0)</f>
        <v>925909</v>
      </c>
      <c r="D13" s="182">
        <f>ROUND((C13/$C$28)*100,1)</f>
        <v>2.7</v>
      </c>
    </row>
    <row r="14" spans="1:4" x14ac:dyDescent="0.2">
      <c r="D14" s="182"/>
    </row>
    <row r="15" spans="1:4" x14ac:dyDescent="0.2">
      <c r="A15">
        <v>2100</v>
      </c>
      <c r="B15" t="s">
        <v>706</v>
      </c>
      <c r="C15" s="179">
        <f>ROUND('DOE25'!L203+'DOE25'!L221+'DOE25'!L239+'DOE25'!L282+'DOE25'!L301+'DOE25'!L320,0)</f>
        <v>2905022</v>
      </c>
      <c r="D15" s="182">
        <f t="shared" ref="D15:D27" si="0">ROUND((C15/$C$28)*100,1)</f>
        <v>8.5</v>
      </c>
    </row>
    <row r="16" spans="1:4" x14ac:dyDescent="0.2">
      <c r="A16">
        <v>2200</v>
      </c>
      <c r="B16" t="s">
        <v>707</v>
      </c>
      <c r="C16" s="179">
        <f>ROUND('DOE25'!L204+'DOE25'!L222+'DOE25'!L240+'DOE25'!L283+'DOE25'!L302+'DOE25'!L321,0)</f>
        <v>1152675</v>
      </c>
      <c r="D16" s="182">
        <f t="shared" si="0"/>
        <v>3.4</v>
      </c>
    </row>
    <row r="17" spans="1:4" x14ac:dyDescent="0.2">
      <c r="A17" s="183" t="s">
        <v>723</v>
      </c>
      <c r="B17" t="s">
        <v>738</v>
      </c>
      <c r="C17" s="179">
        <f>ROUND('DOE25'!L205+'DOE25'!L210+'DOE25'!L223+'DOE25'!L228+'DOE25'!L241+'DOE25'!L246+'DOE25'!L284+'DOE25'!L289+'DOE25'!L303+'DOE25'!L308+'DOE25'!L322+'DOE25'!L327,0)</f>
        <v>1444883</v>
      </c>
      <c r="D17" s="182">
        <f t="shared" si="0"/>
        <v>4.2</v>
      </c>
    </row>
    <row r="18" spans="1:4" x14ac:dyDescent="0.2">
      <c r="A18">
        <v>2400</v>
      </c>
      <c r="B18" t="s">
        <v>711</v>
      </c>
      <c r="C18" s="179">
        <f>ROUND('DOE25'!L206+'DOE25'!L224+'DOE25'!L242+'DOE25'!L285+'DOE25'!L304+'DOE25'!L323,0)</f>
        <v>1945613</v>
      </c>
      <c r="D18" s="182">
        <f t="shared" si="0"/>
        <v>5.7</v>
      </c>
    </row>
    <row r="19" spans="1:4" x14ac:dyDescent="0.2">
      <c r="A19">
        <v>2500</v>
      </c>
      <c r="B19" t="s">
        <v>708</v>
      </c>
      <c r="C19" s="179">
        <f>ROUND('DOE25'!L207+'DOE25'!L225+'DOE25'!L243+'DOE25'!L286+'DOE25'!L305+'DOE25'!L324,0)</f>
        <v>393</v>
      </c>
      <c r="D19" s="182">
        <f t="shared" si="0"/>
        <v>0</v>
      </c>
    </row>
    <row r="20" spans="1:4" x14ac:dyDescent="0.2">
      <c r="A20">
        <v>2600</v>
      </c>
      <c r="B20" t="s">
        <v>709</v>
      </c>
      <c r="C20" s="179">
        <f>ROUND('DOE25'!L208+'DOE25'!L226+'DOE25'!L244+'DOE25'!L287+'DOE25'!L306+'DOE25'!L325,0)</f>
        <v>4184238</v>
      </c>
      <c r="D20" s="182">
        <f t="shared" si="0"/>
        <v>12.2</v>
      </c>
    </row>
    <row r="21" spans="1:4" x14ac:dyDescent="0.2">
      <c r="A21">
        <v>2700</v>
      </c>
      <c r="B21" t="s">
        <v>710</v>
      </c>
      <c r="C21" s="179">
        <f>ROUND('DOE25'!L209+'DOE25'!L227+'DOE25'!L245+'DOE25'!L288+'DOE25'!L307+'DOE25'!L326,0)</f>
        <v>742465</v>
      </c>
      <c r="D21" s="182">
        <f t="shared" si="0"/>
        <v>2.2000000000000002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456462</v>
      </c>
      <c r="D25" s="182">
        <f t="shared" si="0"/>
        <v>1.3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658283.71</v>
      </c>
      <c r="D27" s="182">
        <f t="shared" si="0"/>
        <v>1.9</v>
      </c>
    </row>
    <row r="28" spans="1:4" x14ac:dyDescent="0.2">
      <c r="B28" s="187" t="s">
        <v>719</v>
      </c>
      <c r="C28" s="180">
        <f>SUM(C10:C27)</f>
        <v>34253905.710000001</v>
      </c>
      <c r="D28" s="184">
        <f>ROUND(SUM(D10:D27),0)</f>
        <v>100</v>
      </c>
    </row>
    <row r="29" spans="1:4" x14ac:dyDescent="0.2">
      <c r="A29">
        <v>4000</v>
      </c>
      <c r="B29" t="s">
        <v>724</v>
      </c>
      <c r="C29" s="179">
        <f>ROUND('DOE25'!L256+'DOE25'!L337+'DOE25'!L375+'DOE25'!L376+'DOE25'!L377+'DOE25'!L378+'DOE25'!L379+'DOE25'!L380+'DOE25'!L381,0)</f>
        <v>40040</v>
      </c>
    </row>
    <row r="30" spans="1:4" x14ac:dyDescent="0.2">
      <c r="B30" s="187" t="s">
        <v>725</v>
      </c>
      <c r="C30" s="180">
        <f>SUM(C28:C29)</f>
        <v>34293945.710000001</v>
      </c>
    </row>
    <row r="31" spans="1:4" x14ac:dyDescent="0.2">
      <c r="B31" s="33"/>
      <c r="C31" s="180"/>
    </row>
    <row r="32" spans="1:4" x14ac:dyDescent="0.2">
      <c r="A32">
        <v>5100</v>
      </c>
      <c r="B32" s="33" t="s">
        <v>726</v>
      </c>
      <c r="C32" s="180">
        <f>ROUND('DOE25'!L261+'DOE25'!L342,0)</f>
        <v>2095000</v>
      </c>
    </row>
    <row r="34" spans="1:4" x14ac:dyDescent="0.2">
      <c r="A34" s="187" t="s">
        <v>94</v>
      </c>
      <c r="B34" s="188" t="s">
        <v>1667</v>
      </c>
      <c r="C34" s="181" t="s">
        <v>720</v>
      </c>
      <c r="D34" s="181" t="s">
        <v>721</v>
      </c>
    </row>
    <row r="35" spans="1:4" x14ac:dyDescent="0.2">
      <c r="A35">
        <v>1100</v>
      </c>
      <c r="B35" s="185" t="s">
        <v>727</v>
      </c>
      <c r="C35" s="179">
        <f>ROUND('DOE25'!F60+'DOE25'!G60+'DOE25'!H60+'DOE25'!I60+'DOE25'!J60,0)</f>
        <v>14953923</v>
      </c>
      <c r="D35" s="182">
        <f t="shared" ref="D35:D40" si="1">ROUND((C35/$C$41)*100,1)</f>
        <v>39.5</v>
      </c>
    </row>
    <row r="36" spans="1:4" x14ac:dyDescent="0.2">
      <c r="B36" s="185" t="s">
        <v>739</v>
      </c>
      <c r="C36" s="179">
        <f>SUM('DOE25'!F112:J112)-SUM('DOE25'!G97:G110)+('DOE25'!F175+'DOE25'!F176+'DOE25'!I175+'DOE25'!I176)-C35</f>
        <v>11837005.240000002</v>
      </c>
      <c r="D36" s="182">
        <f t="shared" si="1"/>
        <v>31.2</v>
      </c>
    </row>
    <row r="37" spans="1:4" x14ac:dyDescent="0.2">
      <c r="A37" s="183" t="s">
        <v>835</v>
      </c>
      <c r="B37" s="185" t="s">
        <v>728</v>
      </c>
      <c r="C37" s="179">
        <f>ROUND('DOE25'!F117+'DOE25'!F118,0)</f>
        <v>6468314</v>
      </c>
      <c r="D37" s="182">
        <f t="shared" si="1"/>
        <v>17.100000000000001</v>
      </c>
    </row>
    <row r="38" spans="1:4" x14ac:dyDescent="0.2">
      <c r="A38" s="183" t="s">
        <v>734</v>
      </c>
      <c r="B38" s="185" t="s">
        <v>729</v>
      </c>
      <c r="C38" s="179">
        <f>ROUND(SUM('DOE25'!F140:J140)-SUM('DOE25'!F117:F119),0)</f>
        <v>1360163</v>
      </c>
      <c r="D38" s="182">
        <f t="shared" si="1"/>
        <v>3.6</v>
      </c>
    </row>
    <row r="39" spans="1:4" x14ac:dyDescent="0.2">
      <c r="A39">
        <v>4000</v>
      </c>
      <c r="B39" s="185" t="s">
        <v>730</v>
      </c>
      <c r="C39" s="179">
        <f>ROUND('DOE25'!F170+'DOE25'!G170+'DOE25'!H170+'DOE25'!I170,0)</f>
        <v>3281268</v>
      </c>
      <c r="D39" s="182">
        <f t="shared" si="1"/>
        <v>8.6999999999999993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37900673.240000002</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CONWAY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2021-11-02T13:03:01Z</cp:lastPrinted>
  <dcterms:created xsi:type="dcterms:W3CDTF">1997-12-04T19:04:30Z</dcterms:created>
  <dcterms:modified xsi:type="dcterms:W3CDTF">2021-12-03T19:10:45Z</dcterms:modified>
</cp:coreProperties>
</file>