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8800" windowHeight="123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162" i="1" l="1"/>
  <c r="F12" i="1" l="1"/>
  <c r="G198" i="1" l="1"/>
  <c r="F9" i="1"/>
  <c r="B20" i="12"/>
  <c r="B19" i="12"/>
  <c r="B11" i="12"/>
  <c r="E22" i="17"/>
  <c r="K522" i="1"/>
  <c r="J522" i="1"/>
  <c r="G522" i="1"/>
  <c r="F522" i="1"/>
  <c r="H542" i="1"/>
  <c r="K527" i="1"/>
  <c r="J527" i="1"/>
  <c r="H527" i="1"/>
  <c r="K524" i="1"/>
  <c r="J524" i="1"/>
  <c r="I524" i="1"/>
  <c r="H524" i="1"/>
  <c r="G524" i="1"/>
  <c r="F524" i="1"/>
  <c r="J110" i="1"/>
  <c r="H401" i="1"/>
  <c r="H209" i="1" l="1"/>
  <c r="G24" i="1" l="1"/>
  <c r="I278" i="1"/>
  <c r="I522" i="1" s="1"/>
  <c r="H278" i="1"/>
  <c r="H522" i="1" s="1"/>
  <c r="J277" i="1"/>
  <c r="I277" i="1"/>
  <c r="F369" i="1"/>
  <c r="I204" i="1"/>
  <c r="H205" i="1"/>
  <c r="H206" i="1"/>
  <c r="F205" i="1"/>
  <c r="G208" i="1"/>
  <c r="G206" i="1"/>
  <c r="K205" i="1"/>
  <c r="G205" i="1"/>
  <c r="H204" i="1"/>
  <c r="I203" i="1"/>
  <c r="I527" i="1" s="1"/>
  <c r="G203" i="1"/>
  <c r="G527" i="1" s="1"/>
  <c r="F203" i="1"/>
  <c r="F527" i="1" s="1"/>
  <c r="H155" i="1" l="1"/>
  <c r="G97" i="1"/>
  <c r="F96" i="1"/>
  <c r="H22" i="1" l="1"/>
  <c r="H13" i="1"/>
  <c r="H9" i="1"/>
  <c r="G13" i="1"/>
  <c r="F29" i="1" l="1"/>
  <c r="E7" i="17" l="1"/>
  <c r="H31" i="17" s="1"/>
  <c r="E43" i="14" l="1"/>
  <c r="E33" i="14"/>
  <c r="D33" i="14"/>
  <c r="E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24" i="14" l="1"/>
  <c r="B2" i="14" l="1"/>
  <c r="A2" i="14"/>
  <c r="F33" i="13" l="1"/>
  <c r="C45" i="2" l="1"/>
  <c r="C37" i="10" l="1"/>
  <c r="F40" i="2" l="1"/>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61" i="2"/>
  <c r="F2" i="11"/>
  <c r="L614" i="1"/>
  <c r="H664" i="1" s="1"/>
  <c r="L613" i="1"/>
  <c r="G664" i="1" s="1"/>
  <c r="L612" i="1"/>
  <c r="C40" i="10"/>
  <c r="F60" i="1"/>
  <c r="G60" i="1"/>
  <c r="H60" i="1"/>
  <c r="E56" i="2" s="1"/>
  <c r="I60" i="1"/>
  <c r="F79" i="1"/>
  <c r="C57" i="2" s="1"/>
  <c r="F94" i="1"/>
  <c r="C58" i="2" s="1"/>
  <c r="F111" i="1"/>
  <c r="G111" i="1"/>
  <c r="H79" i="1"/>
  <c r="H94" i="1"/>
  <c r="E58" i="2" s="1"/>
  <c r="H111" i="1"/>
  <c r="I111" i="1"/>
  <c r="I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D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H19" i="1"/>
  <c r="I19" i="1"/>
  <c r="G621" i="1" s="1"/>
  <c r="F32" i="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J96" i="1" s="1"/>
  <c r="G645" i="1" s="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F460" i="1" s="1"/>
  <c r="G447" i="1"/>
  <c r="H447" i="1"/>
  <c r="G642" i="1" s="1"/>
  <c r="F453" i="1"/>
  <c r="G453" i="1"/>
  <c r="H453" i="1"/>
  <c r="G461" i="1"/>
  <c r="H46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H637" i="1"/>
  <c r="G641" i="1"/>
  <c r="G644" i="1"/>
  <c r="G646" i="1"/>
  <c r="G651" i="1"/>
  <c r="G652" i="1"/>
  <c r="G653" i="1"/>
  <c r="H653" i="1"/>
  <c r="G654" i="1"/>
  <c r="H654" i="1"/>
  <c r="G655" i="1"/>
  <c r="H655" i="1"/>
  <c r="H656" i="1"/>
  <c r="J656" i="1" s="1"/>
  <c r="I170" i="1"/>
  <c r="E123" i="2" l="1"/>
  <c r="E119" i="2"/>
  <c r="E110" i="2"/>
  <c r="J572" i="1"/>
  <c r="G339" i="1"/>
  <c r="G353" i="1" s="1"/>
  <c r="G620" i="1"/>
  <c r="H48" i="1"/>
  <c r="G59" i="2"/>
  <c r="G62" i="2" s="1"/>
  <c r="G63" i="2" s="1"/>
  <c r="G619" i="1"/>
  <c r="G40" i="1"/>
  <c r="J111" i="1"/>
  <c r="J112" i="1" s="1"/>
  <c r="E131" i="2"/>
  <c r="C119" i="2"/>
  <c r="G618" i="1"/>
  <c r="F50" i="1"/>
  <c r="G553" i="1"/>
  <c r="G640" i="1"/>
  <c r="H409" i="1"/>
  <c r="H645" i="1" s="1"/>
  <c r="J645" i="1" s="1"/>
  <c r="E13" i="13"/>
  <c r="C13" i="13" s="1"/>
  <c r="J652" i="1"/>
  <c r="K339" i="1"/>
  <c r="K353" i="1" s="1"/>
  <c r="H663" i="1"/>
  <c r="C121" i="2"/>
  <c r="C120" i="2"/>
  <c r="C110" i="2"/>
  <c r="J258" i="1"/>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H258" i="1"/>
  <c r="H272" i="1" s="1"/>
  <c r="I52" i="1"/>
  <c r="H621" i="1" s="1"/>
  <c r="J621" i="1" s="1"/>
  <c r="D31" i="2"/>
  <c r="E31" i="2"/>
  <c r="C18" i="2"/>
  <c r="F18" i="2"/>
  <c r="L271" i="1"/>
  <c r="F662" i="1"/>
  <c r="F572" i="1"/>
  <c r="L420" i="1"/>
  <c r="D91" i="2"/>
  <c r="D81" i="2"/>
  <c r="E78" i="2"/>
  <c r="G546" i="1"/>
  <c r="J644" i="1"/>
  <c r="J646" i="1"/>
  <c r="F112" i="1"/>
  <c r="L394" i="1"/>
  <c r="C138" i="2" s="1"/>
  <c r="L363" i="1"/>
  <c r="B28" i="16"/>
  <c r="L329" i="1"/>
  <c r="E122" i="2"/>
  <c r="L291" i="1"/>
  <c r="L615" i="1"/>
  <c r="K599" i="1"/>
  <c r="G648" i="1" s="1"/>
  <c r="K572" i="1"/>
  <c r="L571" i="1"/>
  <c r="H572" i="1"/>
  <c r="L566" i="1"/>
  <c r="I572" i="1"/>
  <c r="K546" i="1"/>
  <c r="C114" i="2"/>
  <c r="G112" i="1"/>
  <c r="B10" i="16" s="1"/>
  <c r="E118" i="2"/>
  <c r="L248" i="1"/>
  <c r="D37" i="14" s="1"/>
  <c r="L212" i="1"/>
  <c r="H648" i="1"/>
  <c r="J635" i="1"/>
  <c r="G626" i="1"/>
  <c r="L530" i="1"/>
  <c r="H546" i="1"/>
  <c r="G164" i="2"/>
  <c r="G161" i="2"/>
  <c r="G157" i="2"/>
  <c r="G156" i="2"/>
  <c r="G81" i="2"/>
  <c r="C78" i="2"/>
  <c r="F78" i="2"/>
  <c r="F81" i="2" s="1"/>
  <c r="C70" i="2"/>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F144" i="2" s="1"/>
  <c r="F145" i="2" s="1"/>
  <c r="G170" i="1"/>
  <c r="B12" i="16" s="1"/>
  <c r="K552" i="1"/>
  <c r="I25" i="13"/>
  <c r="K551" i="1"/>
  <c r="J272" i="1"/>
  <c r="L535" i="1"/>
  <c r="K50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42" i="2"/>
  <c r="G16" i="2"/>
  <c r="G18" i="2" s="1"/>
  <c r="J19" i="1"/>
  <c r="G622" i="1" s="1"/>
  <c r="F546" i="1"/>
  <c r="H435" i="1"/>
  <c r="D103" i="2"/>
  <c r="I140" i="1"/>
  <c r="A22" i="12"/>
  <c r="J653" i="1"/>
  <c r="G572" i="1"/>
  <c r="I435" i="1"/>
  <c r="G435" i="1"/>
  <c r="D43" i="14" l="1"/>
  <c r="F37" i="14"/>
  <c r="F36" i="14" s="1"/>
  <c r="E128" i="2"/>
  <c r="E145" i="2" s="1"/>
  <c r="B17" i="16"/>
  <c r="B19" i="16" s="1"/>
  <c r="G473" i="1"/>
  <c r="H605" i="1"/>
  <c r="C141" i="2"/>
  <c r="L572" i="1"/>
  <c r="G51" i="1"/>
  <c r="D39" i="2"/>
  <c r="D50" i="2" s="1"/>
  <c r="E47" i="2"/>
  <c r="E50" i="2" s="1"/>
  <c r="H51" i="1"/>
  <c r="F51" i="1"/>
  <c r="C49" i="2"/>
  <c r="C50" i="2" s="1"/>
  <c r="C51" i="2" s="1"/>
  <c r="F461" i="1"/>
  <c r="F462" i="1" s="1"/>
  <c r="H640" i="1" s="1"/>
  <c r="J640" i="1" s="1"/>
  <c r="I460" i="1"/>
  <c r="E115" i="2"/>
  <c r="D51" i="2"/>
  <c r="H194" i="1"/>
  <c r="H649" i="1"/>
  <c r="F661" i="1"/>
  <c r="H661" i="1"/>
  <c r="H665" i="1" s="1"/>
  <c r="H668" i="1" s="1"/>
  <c r="C81" i="2"/>
  <c r="F194" i="1"/>
  <c r="E51" i="2"/>
  <c r="F51" i="2"/>
  <c r="H36" i="14"/>
  <c r="I36" i="14" s="1"/>
  <c r="G36" i="14"/>
  <c r="E104" i="2"/>
  <c r="C36" i="10"/>
  <c r="L435" i="1"/>
  <c r="I662" i="1"/>
  <c r="G104" i="2"/>
  <c r="L339" i="1"/>
  <c r="L353" i="1" s="1"/>
  <c r="I194" i="1"/>
  <c r="G636" i="1"/>
  <c r="D104" i="2"/>
  <c r="L409" i="1"/>
  <c r="J469" i="1" s="1"/>
  <c r="C27" i="10"/>
  <c r="C28" i="10" s="1"/>
  <c r="D23" i="10" s="1"/>
  <c r="G4" i="14"/>
  <c r="L546" i="1"/>
  <c r="F104" i="2"/>
  <c r="B14" i="16"/>
  <c r="B22" i="16" s="1"/>
  <c r="E33" i="13"/>
  <c r="D35" i="13" s="1"/>
  <c r="J648" i="1"/>
  <c r="L258" i="1"/>
  <c r="L272" i="1" s="1"/>
  <c r="C115" i="2"/>
  <c r="C63" i="2"/>
  <c r="C39" i="10"/>
  <c r="G33" i="13"/>
  <c r="C144" i="2"/>
  <c r="C128" i="2"/>
  <c r="D31" i="13"/>
  <c r="C31" i="13" s="1"/>
  <c r="G661" i="1"/>
  <c r="G665" i="1" s="1"/>
  <c r="G673" i="1" s="1"/>
  <c r="C5" i="10" s="1"/>
  <c r="C25" i="13"/>
  <c r="I33" i="13"/>
  <c r="K553" i="1"/>
  <c r="G632" i="1"/>
  <c r="G194" i="1"/>
  <c r="C38" i="10"/>
  <c r="C104" i="2" l="1"/>
  <c r="G631" i="1"/>
  <c r="I469" i="1"/>
  <c r="G624" i="1"/>
  <c r="G52" i="1"/>
  <c r="H619" i="1" s="1"/>
  <c r="J619" i="1" s="1"/>
  <c r="K605" i="1"/>
  <c r="K606" i="1" s="1"/>
  <c r="G649" i="1" s="1"/>
  <c r="J649" i="1" s="1"/>
  <c r="H606" i="1"/>
  <c r="F664" i="1"/>
  <c r="I664" i="1" s="1"/>
  <c r="G625" i="1"/>
  <c r="H52" i="1"/>
  <c r="H620" i="1" s="1"/>
  <c r="J620" i="1" s="1"/>
  <c r="H636" i="1"/>
  <c r="J636" i="1" s="1"/>
  <c r="G475" i="1"/>
  <c r="G634" i="1"/>
  <c r="H473" i="1"/>
  <c r="D21" i="14"/>
  <c r="F5" i="14"/>
  <c r="F4" i="14" s="1"/>
  <c r="H4" i="14" s="1"/>
  <c r="I4" i="14" s="1"/>
  <c r="G639" i="1"/>
  <c r="J473" i="1"/>
  <c r="G628" i="1"/>
  <c r="F469" i="1"/>
  <c r="G623" i="1"/>
  <c r="F52" i="1"/>
  <c r="H618" i="1" s="1"/>
  <c r="J618" i="1" s="1"/>
  <c r="J471" i="1"/>
  <c r="H632" i="1"/>
  <c r="J632" i="1" s="1"/>
  <c r="H638" i="1"/>
  <c r="J48" i="1"/>
  <c r="I461" i="1"/>
  <c r="I462" i="1" s="1"/>
  <c r="H643" i="1" s="1"/>
  <c r="J643" i="1" s="1"/>
  <c r="G633" i="1"/>
  <c r="F473" i="1"/>
  <c r="G630" i="1"/>
  <c r="H469" i="1"/>
  <c r="H471" i="1" s="1"/>
  <c r="G629" i="1"/>
  <c r="G469" i="1"/>
  <c r="H673" i="1"/>
  <c r="C6"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J634" i="1" l="1"/>
  <c r="H475" i="1"/>
  <c r="H477" i="1" s="1"/>
  <c r="H625" i="1" s="1"/>
  <c r="J625" i="1" s="1"/>
  <c r="H634" i="1"/>
  <c r="I471" i="1"/>
  <c r="I477" i="1" s="1"/>
  <c r="H626" i="1" s="1"/>
  <c r="J626" i="1" s="1"/>
  <c r="H631" i="1"/>
  <c r="J631" i="1" s="1"/>
  <c r="F665" i="1"/>
  <c r="H639" i="1"/>
  <c r="J639" i="1" s="1"/>
  <c r="J475" i="1"/>
  <c r="J477" i="1"/>
  <c r="H627" i="1" s="1"/>
  <c r="H628" i="1"/>
  <c r="J628" i="1" s="1"/>
  <c r="F471" i="1"/>
  <c r="G47" i="2"/>
  <c r="G50" i="2" s="1"/>
  <c r="G51" i="2" s="1"/>
  <c r="J51" i="1"/>
  <c r="H633" i="1"/>
  <c r="J633" i="1" s="1"/>
  <c r="F475" i="1"/>
  <c r="G471" i="1"/>
  <c r="G477" i="1" s="1"/>
  <c r="H629" i="1"/>
  <c r="J629" i="1" s="1"/>
  <c r="H630" i="1"/>
  <c r="J630" i="1" s="1"/>
  <c r="I668" i="1"/>
  <c r="D28" i="10"/>
  <c r="D37" i="10"/>
  <c r="D36" i="10"/>
  <c r="D35" i="10"/>
  <c r="D40" i="10"/>
  <c r="D39" i="10"/>
  <c r="F477" i="1" l="1"/>
  <c r="H623" i="1" s="1"/>
  <c r="J623" i="1" s="1"/>
  <c r="F668" i="1"/>
  <c r="F673" i="1"/>
  <c r="C4" i="10" s="1"/>
  <c r="G627" i="1"/>
  <c r="J627" i="1" s="1"/>
  <c r="J52" i="1"/>
  <c r="H622" i="1" s="1"/>
  <c r="J622" i="1" s="1"/>
  <c r="H624" i="1"/>
  <c r="J624" i="1" s="1"/>
  <c r="B33" i="16"/>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7" authorId="0" shapeId="0">
      <text>
        <r>
          <rPr>
            <sz val="8"/>
            <color indexed="81"/>
            <rFont val="Tahoma"/>
            <family val="2"/>
          </rPr>
          <t xml:space="preserve">Only report that amount raise from the Statewide Property  Tax.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<sst xmlns="http://schemas.openxmlformats.org/spreadsheetml/2006/main" count="5575" uniqueCount="1674">
  <si>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</si>
  <si>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</si>
  <si>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</si>
  <si>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</si>
  <si>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</si>
  <si>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</si>
  <si>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</si>
  <si>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</si>
  <si>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</si>
  <si>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</si>
  <si>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</si>
  <si>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</si>
  <si>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</si>
  <si>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</si>
  <si>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</si>
  <si>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</si>
  <si>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</si>
  <si>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</si>
  <si>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</si>
  <si>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</si>
  <si>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</si>
  <si>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</si>
  <si>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</si>
  <si>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</si>
  <si>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</si>
  <si>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</si>
  <si>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</si>
  <si>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</si>
  <si>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</si>
  <si>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</si>
  <si>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</si>
  <si>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</si>
  <si>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</si>
  <si>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</si>
  <si>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</si>
  <si>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</si>
  <si>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</si>
  <si>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</si>
  <si>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</si>
  <si>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</si>
  <si>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</si>
  <si>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</si>
  <si>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</si>
  <si>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</si>
  <si>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</si>
  <si>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</si>
  <si>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</si>
  <si>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</si>
  <si>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</si>
  <si>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</si>
  <si>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</si>
  <si>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</si>
  <si>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</si>
  <si>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</si>
  <si>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</si>
  <si>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</si>
  <si>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</si>
  <si>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</si>
  <si>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</si>
  <si>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</si>
  <si>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</si>
  <si>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</si>
  <si>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</si>
  <si>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</si>
  <si>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</si>
  <si>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</si>
  <si>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</si>
  <si>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</si>
  <si>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</si>
  <si>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</si>
  <si>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</si>
  <si>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</si>
  <si>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</si>
  <si>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</si>
  <si>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</si>
  <si>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</si>
  <si>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</si>
  <si>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</si>
  <si>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</si>
  <si>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</si>
  <si>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</si>
  <si>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</si>
  <si>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</si>
  <si>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</si>
  <si>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</si>
  <si>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</si>
  <si>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</si>
  <si>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</si>
  <si>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</si>
  <si>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</si>
  <si>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</si>
  <si>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</si>
  <si>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</si>
  <si>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</si>
  <si>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</si>
  <si>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</si>
  <si>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</si>
  <si>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</si>
  <si>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</si>
  <si>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</si>
  <si>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</si>
  <si>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</si>
  <si>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</si>
  <si>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</si>
  <si>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</si>
  <si>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</si>
  <si>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</si>
  <si>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</si>
  <si>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</si>
  <si>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</si>
  <si>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</si>
  <si>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</si>
  <si>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</si>
  <si>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</si>
  <si>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</si>
  <si>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</si>
  <si>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</si>
  <si>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</si>
  <si>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</si>
  <si>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</si>
  <si>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</si>
  <si>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</si>
  <si>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</si>
  <si>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</si>
  <si>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</si>
  <si>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</si>
  <si>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</si>
  <si>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</si>
  <si>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</si>
  <si>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</si>
  <si>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</si>
  <si>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</si>
  <si>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</si>
  <si>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</si>
  <si>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</si>
  <si>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</si>
  <si>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</si>
  <si>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</si>
  <si>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</si>
  <si>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</si>
  <si>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</si>
  <si>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</si>
  <si>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</si>
  <si>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</si>
  <si>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</si>
  <si>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</si>
  <si>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</si>
  <si>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</si>
  <si>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</si>
  <si>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</si>
  <si>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</si>
  <si>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</si>
  <si>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</si>
  <si>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</si>
  <si>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</si>
  <si>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</si>
  <si>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</si>
  <si>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</si>
  <si>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</si>
  <si>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</si>
  <si>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</si>
  <si>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</si>
  <si>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</si>
  <si>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</si>
  <si>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</si>
  <si>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</si>
  <si>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</si>
  <si>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</si>
  <si>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</si>
  <si>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</si>
  <si>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</si>
  <si>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</si>
  <si>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</si>
  <si>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</si>
  <si>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</si>
  <si>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</si>
  <si>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</si>
  <si>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</si>
  <si>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</si>
  <si>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</si>
  <si>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</si>
  <si>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</si>
  <si>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</si>
  <si>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</si>
  <si>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</si>
  <si>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</si>
  <si>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</si>
  <si>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</si>
  <si>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</si>
  <si>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</si>
  <si>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</si>
  <si>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</si>
  <si>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</si>
  <si>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</si>
  <si>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</si>
  <si>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</si>
  <si>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</si>
  <si>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</si>
  <si>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</si>
  <si>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</si>
  <si>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</si>
  <si>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</si>
  <si>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</si>
  <si>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</si>
  <si>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</si>
  <si>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</si>
  <si>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</si>
  <si>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</si>
  <si>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</si>
  <si>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</si>
  <si>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</si>
  <si>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</si>
  <si>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</si>
  <si>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</si>
  <si>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</si>
  <si>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</si>
  <si>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</si>
  <si>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</si>
  <si>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</si>
  <si>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</si>
  <si>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</si>
  <si>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</si>
  <si>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</si>
  <si>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</si>
  <si>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</si>
  <si>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</si>
  <si>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</si>
  <si>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</si>
  <si>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</si>
  <si>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</si>
  <si>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</si>
  <si>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</si>
  <si>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</si>
  <si>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</si>
  <si>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</si>
  <si>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</si>
  <si>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</si>
  <si>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</si>
  <si>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</si>
  <si>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</si>
  <si>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</si>
  <si>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</si>
  <si>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</si>
  <si>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</si>
  <si>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</si>
  <si>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</si>
  <si>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</si>
  <si>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</si>
  <si>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</si>
  <si>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</si>
  <si>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</si>
  <si>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</si>
  <si>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</si>
  <si>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</si>
  <si>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</si>
  <si>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</si>
  <si>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</si>
  <si>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</si>
  <si>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</si>
  <si>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</si>
  <si>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</si>
  <si>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</si>
  <si>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</si>
  <si>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</si>
  <si>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</si>
  <si>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</si>
  <si>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</si>
  <si>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</si>
  <si>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</si>
  <si>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</si>
  <si>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</si>
  <si>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</si>
  <si>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</si>
  <si>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</si>
  <si>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</si>
  <si>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</si>
  <si>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</si>
  <si>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</si>
  <si>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</si>
  <si>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</si>
  <si>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</si>
  <si>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</si>
  <si>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</si>
  <si>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</si>
  <si>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</si>
  <si>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</si>
  <si>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</si>
  <si>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</si>
  <si>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</si>
  <si>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</si>
  <si>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</si>
  <si>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</si>
  <si>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</si>
  <si>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</si>
  <si>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</si>
  <si>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</si>
  <si>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</si>
  <si>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</si>
  <si>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</si>
  <si>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</si>
  <si>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</si>
  <si>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</si>
  <si>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</si>
  <si>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</si>
  <si>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</si>
  <si>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</si>
  <si>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</si>
  <si>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</si>
  <si>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</si>
  <si>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</si>
  <si>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</si>
  <si>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</si>
  <si>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</si>
  <si>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</si>
  <si>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</si>
  <si>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</si>
  <si>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</si>
  <si>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</si>
  <si>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</si>
  <si>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</si>
  <si>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</si>
  <si>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</si>
  <si>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</si>
  <si>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</si>
  <si>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</si>
  <si>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</si>
  <si>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</si>
  <si>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</si>
  <si>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</si>
  <si>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</si>
  <si>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</si>
  <si>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</si>
  <si>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</si>
  <si>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</si>
  <si>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</si>
  <si>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</si>
  <si>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</si>
  <si>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</si>
  <si>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</si>
  <si>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</si>
  <si>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</si>
  <si>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</si>
  <si>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</si>
  <si>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</si>
  <si>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</si>
  <si>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</si>
  <si>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</si>
  <si>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</si>
  <si>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</si>
  <si>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</si>
  <si>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</si>
  <si>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</si>
  <si>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</si>
  <si>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</si>
  <si>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</si>
  <si>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</si>
  <si>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</si>
  <si>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</si>
  <si>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</si>
  <si>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</si>
  <si>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</si>
  <si>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</si>
  <si>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</si>
  <si>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</si>
  <si>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</si>
  <si>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</si>
  <si>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</si>
  <si>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</si>
  <si>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</si>
  <si>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</si>
  <si>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</si>
  <si>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</si>
  <si>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</si>
  <si>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</si>
  <si>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</si>
  <si>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</si>
  <si>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</si>
  <si>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</si>
  <si>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</si>
  <si>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</si>
  <si>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</si>
  <si>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</si>
  <si>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</si>
  <si>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</si>
  <si>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</si>
  <si>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</si>
  <si>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</si>
  <si>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</si>
  <si>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</si>
  <si>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</si>
  <si>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</si>
  <si>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</si>
  <si>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</si>
  <si>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</si>
  <si>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</si>
  <si>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</si>
  <si>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</si>
  <si>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</si>
  <si>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</si>
  <si>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</si>
  <si>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</si>
  <si>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</si>
  <si>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</si>
  <si>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</si>
  <si>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</si>
  <si>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</si>
  <si>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</si>
  <si>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</si>
  <si>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</si>
  <si>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</si>
  <si>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</si>
  <si>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</si>
  <si>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</si>
  <si>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</si>
  <si>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</si>
  <si>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</si>
  <si>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</si>
  <si>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</si>
  <si>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</si>
  <si>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</si>
  <si>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</si>
  <si>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</si>
  <si>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</si>
  <si>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</si>
  <si>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</si>
  <si>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</si>
  <si>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</si>
  <si>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</si>
  <si>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</si>
  <si>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</si>
  <si>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</si>
  <si>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</si>
  <si>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</si>
  <si>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</si>
  <si>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</si>
  <si>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</si>
  <si>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</si>
  <si>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</si>
  <si>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</si>
  <si>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</si>
  <si>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</si>
  <si>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</si>
  <si>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</si>
  <si>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</si>
  <si>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</si>
  <si>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</si>
  <si>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</si>
  <si>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</si>
  <si>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</si>
  <si>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</si>
  <si>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</si>
  <si>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</si>
  <si>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</si>
  <si>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</si>
  <si>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</si>
  <si>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</si>
  <si>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</si>
  <si>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</si>
  <si>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</si>
  <si>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</si>
  <si>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</si>
  <si>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</si>
  <si>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</si>
  <si>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</si>
  <si>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</si>
  <si>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</si>
  <si>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</si>
  <si>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</si>
  <si>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</si>
  <si>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</si>
  <si>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</si>
  <si>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</si>
  <si>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</si>
  <si>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</si>
  <si>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</si>
  <si>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</si>
  <si>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</si>
  <si>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</si>
  <si>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</si>
  <si>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</si>
  <si>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</si>
  <si>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</si>
  <si>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</si>
  <si>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</si>
  <si>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</si>
  <si>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</si>
  <si>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</si>
  <si>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</si>
  <si>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</si>
  <si>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</si>
  <si>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</si>
  <si>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</si>
  <si>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</si>
  <si>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</si>
  <si>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</si>
  <si>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</si>
  <si>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</si>
  <si>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</si>
  <si>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</si>
  <si>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</si>
  <si>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</si>
  <si>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</si>
  <si>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</si>
  <si>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</si>
  <si>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</si>
  <si>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</si>
  <si>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</si>
  <si>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</si>
  <si>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</si>
  <si>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</si>
  <si>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</si>
  <si>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</si>
  <si>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</si>
  <si>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</si>
  <si>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</si>
  <si>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</si>
  <si>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</si>
  <si>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</si>
  <si>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</si>
  <si>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</si>
  <si>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</si>
  <si>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</si>
  <si>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</si>
  <si>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</si>
  <si>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</si>
  <si>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</si>
  <si>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</si>
  <si>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</si>
  <si>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</si>
  <si>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</si>
  <si>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</si>
  <si>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</si>
  <si>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</si>
  <si>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</si>
  <si>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</si>
  <si>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</si>
  <si>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</si>
  <si>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</si>
  <si>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</si>
  <si>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</si>
  <si>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</si>
  <si>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</si>
  <si>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</si>
  <si>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</si>
  <si>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</si>
  <si>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</si>
  <si>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</si>
  <si>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</si>
  <si>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</si>
  <si>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</si>
  <si>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</si>
  <si>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</si>
  <si>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</si>
  <si>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</si>
  <si>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</si>
  <si>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</si>
  <si>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</si>
  <si>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</si>
  <si>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</si>
  <si>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</si>
  <si>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</si>
  <si>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</si>
  <si>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</si>
  <si>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</si>
  <si>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</si>
  <si>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</si>
  <si>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</si>
  <si>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</si>
  <si>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</si>
  <si>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</si>
  <si>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</si>
  <si>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</si>
  <si>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</si>
  <si>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</si>
  <si>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</si>
  <si>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</si>
  <si>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</si>
  <si>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</si>
  <si>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</si>
  <si>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</si>
  <si>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</si>
  <si>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</si>
  <si>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</si>
  <si>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</si>
  <si>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</si>
  <si>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</si>
  <si>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</si>
  <si>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</si>
  <si>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</si>
  <si>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</si>
  <si>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</si>
  <si>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</si>
  <si>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</si>
  <si>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</si>
  <si>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</si>
  <si>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</si>
  <si>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</si>
  <si>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</si>
  <si>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</si>
  <si>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</si>
  <si>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</si>
  <si>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</si>
  <si>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</si>
  <si>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</si>
  <si>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</si>
  <si>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</si>
  <si>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</si>
  <si>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</si>
  <si>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</si>
  <si>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</si>
  <si>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</si>
  <si>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</si>
  <si>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</si>
  <si>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</si>
  <si>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</si>
  <si>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</si>
  <si>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</si>
  <si>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</si>
  <si>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</si>
  <si>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</si>
  <si>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</si>
  <si>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</si>
  <si>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</si>
  <si>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</si>
  <si>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</si>
  <si>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</si>
  <si>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</si>
  <si>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</si>
  <si>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</si>
  <si>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</si>
  <si>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</si>
  <si>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</si>
  <si>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</si>
  <si>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</si>
  <si>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</si>
  <si>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</si>
  <si>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</si>
  <si>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</si>
  <si>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</si>
  <si>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</si>
  <si>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</si>
  <si>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</si>
  <si>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</si>
  <si>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</si>
  <si>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</si>
  <si>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</si>
  <si>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</si>
  <si>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</si>
  <si>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</si>
  <si>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</si>
  <si>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</si>
  <si>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</si>
  <si>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</si>
  <si>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</si>
  <si>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</si>
  <si>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</si>
  <si>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</si>
  <si>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</si>
  <si>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</si>
  <si>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</si>
  <si>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</si>
  <si>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</si>
  <si>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</si>
  <si>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</si>
  <si>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</si>
  <si>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</si>
  <si>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</si>
  <si>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</si>
  <si>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</si>
  <si>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</si>
  <si>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</si>
  <si>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</si>
  <si>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</si>
  <si>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</si>
  <si>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</si>
  <si>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</si>
  <si>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</si>
  <si>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</si>
  <si>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</si>
  <si>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</si>
  <si>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</si>
  <si>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</si>
  <si>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</si>
  <si>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</si>
  <si>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</si>
  <si>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</si>
  <si>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</si>
  <si>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</si>
  <si>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</si>
  <si>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</si>
  <si>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</si>
  <si>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</si>
  <si>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</si>
  <si>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</si>
  <si>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</si>
  <si>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</si>
  <si>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</si>
  <si>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</si>
  <si>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</si>
  <si>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</si>
  <si>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</si>
  <si>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</si>
  <si>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</si>
  <si>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</si>
  <si>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</si>
  <si>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</si>
  <si>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</si>
  <si>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</si>
  <si>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</si>
  <si>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</si>
  <si>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</si>
  <si>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</si>
  <si>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</si>
  <si>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</si>
  <si>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</si>
  <si>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</si>
  <si>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</si>
  <si>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</si>
  <si>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</si>
  <si>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</si>
  <si>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</si>
  <si>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</si>
  <si>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</si>
  <si>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</si>
  <si>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</si>
  <si>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</si>
  <si>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</si>
  <si>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</si>
  <si>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</si>
  <si>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</si>
  <si>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</si>
  <si>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</si>
  <si>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</si>
  <si>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</si>
  <si>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</si>
  <si>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</si>
  <si>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</si>
  <si>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</si>
  <si>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</si>
  <si>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</si>
  <si>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</si>
  <si>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</si>
  <si>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</si>
  <si>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</si>
  <si>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</si>
  <si>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</si>
  <si>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</si>
  <si>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</si>
  <si>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</si>
  <si>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</si>
  <si>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</si>
  <si>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</si>
  <si>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</si>
  <si>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</si>
  <si>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</si>
  <si>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</si>
  <si>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</si>
  <si>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</si>
  <si>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</si>
  <si>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</si>
  <si>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</si>
  <si>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</si>
  <si>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</si>
  <si>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</si>
  <si>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</si>
  <si>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</si>
  <si>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</si>
  <si>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</si>
  <si>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</si>
  <si>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</si>
  <si>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</si>
  <si>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</si>
  <si>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</si>
  <si>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</si>
  <si>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</si>
  <si>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</si>
  <si>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</si>
  <si>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</si>
  <si>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</si>
  <si>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</si>
  <si>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</si>
  <si>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</si>
  <si>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</si>
  <si>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</si>
  <si>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</si>
  <si>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</si>
  <si>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</si>
  <si>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</si>
  <si>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</si>
  <si>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</si>
  <si>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</si>
  <si>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</si>
  <si>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</si>
  <si>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</si>
  <si>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</si>
  <si>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</si>
  <si>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</si>
  <si>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</si>
  <si>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</si>
  <si>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</si>
  <si>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</si>
  <si>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</si>
  <si>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</si>
  <si>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</si>
  <si>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</si>
  <si>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</si>
  <si>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</si>
  <si>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</si>
  <si>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</si>
  <si>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</si>
  <si>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</si>
  <si>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</si>
  <si>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</si>
  <si>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</si>
  <si>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</si>
  <si>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</si>
  <si>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</si>
  <si>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</si>
  <si>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</si>
  <si>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</si>
  <si>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</si>
  <si>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</si>
  <si>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</si>
  <si>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</si>
  <si>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</si>
  <si>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</si>
  <si>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</si>
  <si>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</si>
  <si>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</si>
  <si>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</si>
  <si>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</si>
  <si>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</si>
  <si>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</si>
  <si>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</si>
  <si>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</si>
  <si>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</si>
  <si>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</si>
  <si>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</si>
  <si>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</si>
  <si>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</si>
  <si>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</si>
  <si>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</si>
  <si>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</si>
  <si>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</si>
  <si>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</si>
  <si>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</si>
  <si>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</si>
  <si>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</si>
  <si>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</si>
  <si>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</si>
  <si>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</si>
  <si>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</si>
  <si>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</si>
  <si>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</si>
  <si>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</si>
  <si>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</si>
  <si>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</si>
  <si>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</si>
  <si>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</si>
  <si>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</si>
  <si>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</si>
  <si>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</si>
  <si>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</si>
  <si>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</si>
  <si>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</si>
  <si>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</si>
  <si>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</si>
  <si>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</si>
  <si>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</si>
  <si>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</si>
  <si>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</si>
  <si>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</si>
  <si>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</si>
  <si>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</si>
  <si>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</si>
  <si>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</si>
  <si>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</si>
  <si>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</si>
  <si>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</si>
  <si>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</si>
  <si>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</si>
  <si>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</si>
  <si>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</si>
  <si>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</si>
  <si>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</si>
  <si>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</si>
  <si>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</si>
  <si>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</si>
  <si>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</si>
  <si>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</si>
  <si>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</si>
  <si>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</si>
  <si>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</si>
  <si>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</si>
  <si>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</si>
  <si>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</si>
  <si>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</si>
  <si>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</si>
  <si>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</si>
  <si>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</si>
  <si>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</si>
  <si>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</si>
  <si>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</si>
  <si>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</si>
  <si>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</si>
  <si>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</si>
  <si>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</si>
  <si>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</si>
  <si>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</si>
  <si>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</si>
  <si>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</si>
  <si>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</si>
  <si>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</si>
  <si>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</si>
  <si>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</si>
  <si>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</si>
  <si>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</si>
  <si>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</si>
  <si>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</si>
  <si>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</si>
  <si>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</si>
  <si>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</si>
  <si>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</si>
  <si>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</si>
  <si>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</si>
  <si>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</si>
  <si>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</si>
  <si>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</si>
  <si>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</si>
  <si>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</si>
  <si>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</si>
  <si>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</si>
  <si>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</si>
  <si>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</si>
  <si>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</si>
  <si>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</si>
  <si>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</si>
  <si>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</si>
  <si>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</si>
  <si>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</si>
  <si>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</si>
  <si>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</si>
  <si>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</si>
  <si>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</si>
  <si>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</si>
  <si>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</si>
  <si>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</si>
  <si>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</si>
  <si>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</si>
  <si>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</si>
  <si>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</si>
  <si>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</si>
  <si>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</si>
  <si>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</si>
  <si>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</si>
  <si>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</si>
  <si>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</si>
  <si>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</si>
  <si>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</si>
  <si>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</si>
  <si>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</si>
  <si>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</si>
  <si>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</si>
  <si>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</si>
  <si>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</si>
  <si>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</si>
  <si>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</si>
  <si>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</si>
  <si>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</si>
  <si>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</si>
  <si>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</si>
  <si>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</si>
  <si>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</si>
  <si>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</si>
  <si>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</si>
  <si>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</si>
  <si>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</si>
  <si>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</si>
  <si>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</si>
  <si>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</si>
  <si>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</si>
  <si>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</si>
  <si>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</si>
  <si>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</si>
  <si>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</si>
  <si>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</si>
  <si>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</si>
  <si>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</si>
  <si>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</si>
  <si>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</si>
  <si>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</si>
  <si>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</si>
  <si>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</si>
  <si>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</si>
  <si>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</si>
  <si>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</si>
  <si>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</si>
  <si>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</si>
  <si>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</si>
  <si>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</si>
  <si>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</si>
  <si>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</si>
  <si>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</si>
  <si>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</si>
  <si>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</si>
  <si>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</si>
  <si>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</si>
  <si>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</si>
  <si>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</si>
  <si>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</si>
  <si>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</si>
  <si>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</si>
  <si>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</si>
  <si>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</si>
  <si>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</si>
  <si>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</si>
  <si>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</si>
  <si>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</si>
  <si>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</si>
  <si>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</si>
  <si>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</si>
  <si>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</si>
  <si>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</si>
  <si>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</si>
  <si>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</si>
  <si>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</si>
  <si>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</si>
  <si>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</si>
  <si>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</si>
  <si>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</si>
  <si>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</si>
  <si>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</si>
  <si>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</si>
  <si>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</si>
  <si>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</si>
  <si>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</si>
  <si>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</si>
  <si>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</si>
  <si>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</si>
  <si>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</si>
  <si>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</si>
  <si>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</si>
  <si>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</si>
  <si>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</si>
  <si>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</si>
  <si>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</si>
  <si>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</si>
  <si>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</si>
  <si>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</si>
  <si>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</si>
  <si>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</si>
  <si>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</si>
  <si>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</si>
  <si>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</si>
  <si>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</si>
  <si>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</si>
  <si>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</si>
  <si>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</si>
  <si>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</si>
  <si>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</si>
  <si>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</si>
  <si>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</si>
  <si>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</si>
  <si>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</si>
  <si>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</si>
  <si>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</si>
  <si>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</si>
  <si>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</si>
  <si>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</si>
  <si>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</si>
  <si>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</si>
  <si>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</si>
  <si>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</si>
  <si>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</si>
  <si>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</si>
  <si>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</si>
  <si>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</si>
  <si>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</si>
  <si>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</si>
  <si>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</si>
  <si>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</si>
  <si>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</si>
  <si>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</si>
  <si>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</si>
  <si>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</si>
  <si>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</si>
  <si>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</si>
  <si>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</si>
  <si>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</si>
  <si>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</si>
  <si>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</si>
  <si>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</si>
  <si>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</si>
  <si>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</si>
  <si>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</si>
  <si>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</si>
  <si>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</si>
  <si>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</si>
  <si>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</si>
  <si>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</si>
  <si>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</si>
  <si>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</si>
  <si>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</si>
  <si>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</si>
  <si>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</si>
  <si>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</si>
  <si>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</si>
  <si>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</si>
  <si>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</si>
  <si>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</si>
  <si>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</si>
  <si>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</si>
  <si>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</si>
  <si>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</si>
  <si>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</si>
  <si>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</si>
  <si>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</si>
  <si>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</si>
  <si>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</si>
  <si>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</si>
  <si>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</si>
  <si>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</si>
  <si>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</si>
  <si>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</si>
  <si>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</si>
  <si>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</si>
  <si>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</si>
  <si>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</si>
  <si>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</si>
  <si>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</si>
  <si>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</si>
  <si>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</si>
  <si>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</si>
  <si>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</si>
  <si>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</si>
  <si>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</si>
  <si>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</si>
  <si>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</si>
  <si>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</si>
  <si>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</si>
  <si>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</si>
  <si>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</si>
  <si>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</si>
  <si>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</si>
  <si>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</si>
  <si>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</si>
  <si>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</si>
  <si>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</si>
  <si>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</si>
  <si>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</si>
  <si>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</si>
  <si>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</si>
  <si>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</si>
  <si>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</si>
  <si>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</si>
  <si>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</si>
  <si>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</si>
  <si>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</si>
  <si>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</si>
  <si>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</si>
  <si>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</si>
  <si>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</si>
  <si>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</si>
  <si>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</si>
  <si>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</si>
  <si>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</si>
  <si>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</si>
  <si>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</si>
  <si>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</si>
  <si>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</si>
  <si>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</si>
  <si>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</si>
  <si>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</si>
  <si>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</si>
  <si>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</si>
  <si>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</si>
  <si>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</si>
  <si>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</si>
  <si>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</si>
  <si>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</si>
  <si>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</si>
  <si>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</si>
  <si>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</si>
  <si>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</si>
  <si>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</si>
  <si>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</si>
  <si>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</si>
  <si>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</si>
  <si>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</si>
  <si>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</si>
  <si>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</si>
  <si>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</si>
  <si>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</si>
  <si>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</si>
  <si>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</si>
  <si>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</si>
  <si>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</si>
  <si>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</si>
  <si>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</si>
  <si>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</si>
  <si>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</si>
  <si>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</si>
  <si>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</si>
  <si>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</si>
  <si>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</si>
  <si>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</si>
  <si>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</si>
  <si>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</si>
  <si>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</si>
  <si>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</si>
  <si>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</si>
  <si>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</si>
  <si>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</si>
  <si>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</si>
  <si>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</si>
  <si>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</si>
  <si>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</si>
  <si>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</si>
  <si>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</si>
  <si>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</si>
  <si>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</si>
  <si>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</si>
  <si>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</si>
  <si>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</si>
  <si>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</si>
  <si>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</si>
  <si>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</si>
  <si>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</si>
  <si>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</si>
  <si>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</si>
  <si>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</si>
  <si>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</si>
  <si>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</si>
  <si>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</si>
  <si>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</si>
  <si>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</si>
  <si>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</si>
  <si>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</si>
  <si>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</si>
  <si>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</si>
  <si>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</si>
  <si>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</si>
  <si>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</si>
  <si>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</si>
  <si>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</si>
  <si>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</si>
  <si>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</si>
  <si>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</si>
  <si>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</si>
  <si>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</si>
  <si>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</si>
  <si>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</si>
  <si>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</si>
  <si>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</si>
  <si>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</si>
  <si>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</si>
  <si>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</si>
  <si>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</si>
  <si>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</si>
  <si>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</si>
  <si>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</si>
  <si>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</si>
  <si>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</si>
  <si>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</si>
  <si>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</si>
  <si>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</si>
  <si>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</si>
  <si>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</si>
  <si>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</si>
  <si>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</si>
  <si>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</si>
  <si>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</si>
  <si>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</si>
  <si>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</si>
  <si>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</si>
  <si>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</si>
  <si>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</si>
  <si>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</si>
  <si>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</si>
  <si>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</si>
  <si>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</si>
  <si>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</si>
  <si>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</si>
  <si>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</si>
  <si>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</si>
  <si>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</si>
  <si>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</si>
  <si>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</si>
  <si>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</si>
  <si>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</si>
  <si>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</si>
  <si>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</si>
  <si>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</si>
  <si>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</si>
  <si>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</si>
  <si>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</si>
  <si>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</si>
  <si>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</si>
  <si>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</si>
  <si>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</si>
  <si>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</si>
  <si>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</si>
  <si>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</si>
  <si>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</si>
  <si>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</si>
  <si>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</si>
  <si>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</si>
  <si>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</si>
  <si>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</si>
  <si>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</si>
  <si>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</si>
  <si>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</si>
  <si>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</si>
  <si>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</si>
  <si>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</si>
  <si>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</si>
  <si>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</si>
  <si>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</si>
  <si>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</si>
  <si>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</si>
  <si>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</si>
  <si>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</si>
  <si>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</si>
  <si>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</si>
  <si>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</si>
  <si>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</si>
  <si>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</si>
  <si>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</si>
  <si>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</si>
  <si>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</si>
  <si>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</si>
  <si>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</si>
  <si>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</si>
  <si>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</si>
  <si>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</si>
  <si>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</si>
  <si>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</si>
  <si>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</si>
  <si>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</si>
  <si>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</si>
  <si>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</si>
  <si>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</si>
  <si>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</si>
  <si>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</si>
  <si>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</si>
  <si>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</si>
  <si>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</si>
  <si>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</si>
  <si>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</si>
  <si>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</si>
  <si>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</si>
  <si>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</si>
  <si>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</si>
  <si>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</si>
  <si>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</si>
  <si>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</si>
  <si>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</si>
  <si>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</si>
  <si>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</si>
  <si>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</si>
  <si>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</si>
  <si>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</si>
  <si>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</si>
  <si>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</si>
  <si>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</si>
  <si>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</si>
  <si>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</si>
  <si>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</si>
  <si>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</si>
  <si>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</si>
  <si>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</si>
  <si>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</si>
  <si>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</si>
  <si>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</si>
  <si>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</si>
  <si>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</si>
  <si>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</si>
  <si>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</si>
  <si>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</si>
  <si>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</si>
  <si>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</si>
  <si>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</si>
  <si>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</si>
  <si>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</si>
  <si>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</si>
  <si>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</si>
  <si>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</si>
  <si>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</si>
  <si>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</si>
  <si>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</si>
  <si>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</si>
  <si>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</si>
  <si>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</si>
  <si>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</si>
  <si>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</si>
  <si>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</si>
  <si>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</si>
  <si>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</si>
  <si>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</si>
  <si>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</si>
  <si>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</si>
  <si>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</si>
  <si>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</si>
  <si>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</si>
  <si>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</si>
  <si>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</si>
  <si>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</si>
  <si>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</si>
  <si>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</si>
  <si>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</si>
  <si>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</si>
  <si>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</si>
  <si>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</si>
  <si>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</si>
  <si>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</si>
  <si>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</si>
  <si>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</si>
  <si>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</si>
  <si>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</si>
  <si>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</si>
  <si>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</si>
  <si>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</si>
  <si>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</si>
  <si>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</si>
  <si>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</si>
  <si>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</si>
  <si>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</si>
  <si>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</si>
  <si>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</si>
  <si>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</si>
  <si>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</si>
  <si>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</si>
  <si>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</si>
  <si>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</si>
  <si>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</si>
  <si>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</si>
  <si>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</si>
  <si>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</si>
  <si>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</si>
  <si>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</si>
  <si>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</si>
  <si>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</si>
  <si>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</si>
  <si>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</si>
  <si>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</si>
  <si>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</si>
  <si>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</si>
  <si>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</si>
  <si>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</si>
  <si>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</si>
  <si>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</si>
  <si>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</si>
  <si>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</si>
  <si>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</si>
  <si>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</si>
  <si>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</si>
  <si>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</si>
  <si>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</si>
  <si>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</si>
  <si>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</si>
  <si>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</si>
  <si>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</si>
  <si>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</si>
  <si>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</si>
  <si>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</si>
  <si>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</si>
  <si>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</si>
  <si>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</si>
  <si>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</si>
  <si>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</si>
  <si>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</si>
  <si>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</si>
  <si>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</si>
  <si>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</si>
  <si>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</si>
  <si>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</si>
  <si>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</si>
  <si>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</si>
  <si>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</si>
  <si>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</si>
  <si>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</si>
  <si>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</si>
  <si>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</si>
  <si>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</si>
  <si>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</si>
  <si>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</si>
  <si>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</si>
  <si>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</si>
  <si>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</si>
  <si>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</si>
  <si>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</si>
  <si>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</si>
  <si>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</si>
  <si>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</si>
  <si>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</si>
  <si>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</si>
  <si>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</si>
  <si>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</si>
  <si>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</si>
  <si>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</si>
  <si>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</si>
  <si>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</si>
  <si>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</si>
  <si>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</si>
  <si>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</si>
  <si>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</si>
  <si>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</si>
  <si>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</si>
  <si>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</si>
  <si>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</si>
  <si>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</si>
  <si>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</si>
  <si>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</si>
  <si>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</si>
  <si>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</si>
  <si>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</si>
  <si>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</si>
  <si>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</si>
  <si>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</si>
  <si>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</si>
  <si>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</si>
  <si>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</si>
  <si>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</si>
  <si>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</si>
  <si>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</si>
  <si>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</si>
  <si>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</si>
  <si>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</si>
  <si>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</si>
  <si>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</si>
  <si>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</si>
  <si>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</si>
  <si>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</si>
  <si>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</si>
  <si>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</si>
  <si>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</si>
  <si>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</si>
  <si>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</si>
  <si>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</si>
  <si>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</si>
  <si>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</si>
  <si>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</si>
  <si>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</si>
  <si>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</si>
  <si>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</si>
  <si>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</si>
  <si>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</si>
  <si>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</si>
  <si>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</si>
  <si>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</si>
  <si>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</si>
  <si>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</si>
  <si>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</si>
  <si>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</si>
  <si>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</si>
  <si>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</si>
  <si>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</si>
  <si>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</si>
  <si>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</si>
  <si>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</si>
  <si>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</si>
  <si>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</si>
  <si>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</si>
  <si>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</si>
  <si>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</si>
  <si>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</si>
  <si>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</si>
  <si>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</si>
  <si>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</si>
  <si>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</si>
  <si>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</si>
  <si>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</si>
  <si>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</si>
  <si>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</si>
  <si>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</si>
  <si>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</si>
  <si>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</si>
  <si>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</si>
  <si>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</si>
  <si>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</si>
  <si>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</si>
  <si>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</si>
  <si>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</si>
  <si>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</si>
  <si>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</si>
  <si>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</si>
  <si>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</si>
  <si>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</si>
  <si>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</si>
  <si>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</si>
  <si>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</si>
  <si>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</si>
  <si>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</si>
  <si>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</si>
  <si>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</si>
  <si>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</si>
  <si>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</si>
  <si>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</si>
  <si>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</si>
  <si>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</si>
  <si>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</si>
  <si>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</si>
  <si>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</si>
  <si>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</si>
  <si>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</si>
  <si>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</si>
  <si>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</si>
  <si>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</si>
  <si>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</si>
  <si>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</si>
  <si>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</si>
  <si>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</si>
  <si>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</si>
  <si>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</si>
  <si>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</si>
  <si>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</si>
  <si>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</si>
  <si>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</si>
  <si>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</si>
  <si>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</si>
  <si>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</si>
  <si>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</si>
  <si>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</si>
  <si>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</si>
  <si>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</si>
  <si>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</si>
  <si>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</si>
  <si>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</si>
  <si>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</si>
  <si>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</si>
  <si>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</si>
  <si>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</si>
  <si>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</si>
  <si>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</si>
  <si>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</si>
  <si>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</si>
  <si>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</si>
  <si>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</si>
  <si>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</si>
  <si>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</si>
  <si>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</si>
  <si>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</si>
  <si>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</si>
  <si>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</si>
  <si>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</si>
  <si>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</si>
  <si>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</si>
  <si>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</si>
  <si>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</si>
  <si>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</si>
  <si>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</si>
  <si>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</si>
  <si>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</si>
  <si>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</si>
  <si>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</si>
  <si>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</si>
  <si>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</si>
  <si>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</si>
  <si>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</si>
  <si>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</si>
  <si>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</si>
  <si>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</si>
  <si>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</si>
  <si>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</si>
  <si>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</si>
  <si>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</si>
  <si>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</si>
  <si>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</si>
  <si>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</si>
  <si>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</si>
  <si>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</si>
  <si>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</si>
  <si>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Cornish School District</t>
  </si>
  <si>
    <t>Audit Adjustments All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</si>
</sst>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4" activePane="bottomRight" state="frozen"/>
      <selection pane="topRight" activeCell="F1" sqref="F1"/>
      <selection pane="bottomLeft" activeCell="A4" sqref="A4"/>
      <selection pane="bottomRight" activeCell="H162" sqref="H16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115</v>
      </c>
      <c r="C2" s="21">
        <v>115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-81466.7+250+15367.74+44950.84-43697.98</f>
        <v>-64596.1</v>
      </c>
      <c r="G9" s="18"/>
      <c r="H9" s="18">
        <f>125.1+18.7+66445.46+6736.2+3227.58+29.35</f>
        <v>76582.390000000014</v>
      </c>
      <c r="I9" s="18" t="s">
        <v>286</v>
      </c>
      <c r="J9" s="67">
        <f>SUM(I440)</f>
        <v>499094.28</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59287.82+43009.87</f>
        <v>102297.69</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f>7006.1</f>
        <v>7006.1</v>
      </c>
      <c r="H13" s="18">
        <f>2780.85+4079.58+13330-350+1095.77+17383.03-3981.03</f>
        <v>34338.199999999997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3709.1</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37701.590000000004</v>
      </c>
      <c r="G19" s="41">
        <f>SUM(G9:G18)</f>
        <v>10715.2</v>
      </c>
      <c r="H19" s="41">
        <f>SUM(H9:H18)</f>
        <v>110920.59000000001</v>
      </c>
      <c r="I19" s="41">
        <f>SUM(I9:I18)</f>
        <v>0</v>
      </c>
      <c r="J19" s="41">
        <f>SUM(J9:J18)</f>
        <v>499094.28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4557.8500000000004</v>
      </c>
      <c r="H22" s="18">
        <f>2010.8+24104.22-3981.03+11855.25+1095.77+13330-350+0.01+3758.08+2906.87</f>
        <v>54729.970000000008</v>
      </c>
      <c r="I22" s="18"/>
      <c r="J22" s="67">
        <f>SUM(I449)</f>
        <v>43009.87</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21221.91</v>
      </c>
      <c r="G24" s="18">
        <f>6099.15</f>
        <v>6099.15</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17.53+1102.65+64.8</f>
        <v>1184.98</v>
      </c>
      <c r="G29" s="18"/>
      <c r="H29" s="18">
        <v>15.31</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1216.78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22406.89</v>
      </c>
      <c r="G32" s="41">
        <f>SUM(G22:G31)</f>
        <v>10657</v>
      </c>
      <c r="H32" s="41">
        <f>SUM(H22:H31)</f>
        <v>55962.060000000005</v>
      </c>
      <c r="I32" s="41">
        <f>SUM(I22:I31)</f>
        <v>0</v>
      </c>
      <c r="J32" s="41">
        <f>SUM(J22:J31)</f>
        <v>43009.87</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f>G19-G32</f>
        <v>58.200000000000728</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0</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H19-H32</f>
        <v>54958.530000000006</v>
      </c>
      <c r="I48" s="18"/>
      <c r="J48" s="13">
        <f>SUM(I460)</f>
        <v>456084.41000000003</v>
      </c>
      <c r="K48" s="24" t="s">
        <v>288</v>
      </c>
      <c r="L48" s="24" t="s">
        <v>288</v>
      </c>
      <c r="M48" s="8"/>
      <c r="N48" s="266"/>
    </row>
    <row r="49" spans="1:14" s="3" customFormat="1" ht="12.2" customHeight="1" x14ac:dyDescent="0.15">
      <c r="A49" s="1" t="s">
        <v>859</v>
      </c>
      <c r="B49" s="2" t="s">
        <v>289</v>
      </c>
      <c r="C49" s="6">
        <v>34</v>
      </c>
      <c r="D49" s="2"/>
      <c r="E49" s="6">
        <v>753</v>
      </c>
      <c r="F49" s="18">
        <v>15294.7</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F19-F32-F49</f>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15294.7</v>
      </c>
      <c r="G51" s="41">
        <f>SUM(G35:G50)</f>
        <v>58.200000000000728</v>
      </c>
      <c r="H51" s="41">
        <f>SUM(H35:H50)</f>
        <v>54958.530000000006</v>
      </c>
      <c r="I51" s="41">
        <f>SUM(I35:I50)</f>
        <v>0</v>
      </c>
      <c r="J51" s="41">
        <f>SUM(J35:J50)</f>
        <v>456084.41000000003</v>
      </c>
      <c r="K51" s="45" t="s">
        <v>288</v>
      </c>
      <c r="L51" s="45" t="s">
        <v>288</v>
      </c>
      <c r="N51" s="264"/>
    </row>
    <row r="52" spans="1:14" s="3" customFormat="1" ht="12.2" customHeight="1" thickTop="1" x14ac:dyDescent="0.15">
      <c r="A52" s="38" t="s">
        <v>455</v>
      </c>
      <c r="B52" s="39" t="s">
        <v>289</v>
      </c>
      <c r="C52" s="6">
        <v>37</v>
      </c>
      <c r="D52" s="39" t="s">
        <v>653</v>
      </c>
      <c r="E52" s="39"/>
      <c r="F52" s="41">
        <f>F51+F32</f>
        <v>37701.589999999997</v>
      </c>
      <c r="G52" s="41">
        <f>G51+G32</f>
        <v>10715.2</v>
      </c>
      <c r="H52" s="41">
        <f>H51+H32</f>
        <v>110920.59000000001</v>
      </c>
      <c r="I52" s="41">
        <f>I51+I32</f>
        <v>0</v>
      </c>
      <c r="J52" s="41">
        <f>J51+J32</f>
        <v>499094.28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2533568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2533568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31.68+1.53</f>
        <v>33.21</v>
      </c>
      <c r="G96" s="18">
        <v>0</v>
      </c>
      <c r="H96" s="18">
        <v>29.35</v>
      </c>
      <c r="I96" s="18"/>
      <c r="J96" s="18">
        <f>H402</f>
        <v>6238.82</v>
      </c>
      <c r="K96" s="24" t="s">
        <v>288</v>
      </c>
      <c r="L96" s="24" t="s">
        <v>288</v>
      </c>
      <c r="M96" s="8"/>
      <c r="N96" s="266"/>
    </row>
    <row r="97" spans="1:14" s="3" customFormat="1" ht="12.2" customHeight="1" x14ac:dyDescent="0.15">
      <c r="A97" s="1" t="s">
        <v>503</v>
      </c>
      <c r="B97" s="2" t="s">
        <v>315</v>
      </c>
      <c r="C97" s="6">
        <v>12</v>
      </c>
      <c r="D97" s="2" t="s">
        <v>430</v>
      </c>
      <c r="E97" s="6">
        <v>1600</v>
      </c>
      <c r="F97" s="24" t="s">
        <v>288</v>
      </c>
      <c r="G97" s="18">
        <f>7917.72+15509.8</f>
        <v>23427.52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v>0</v>
      </c>
      <c r="H109" s="18">
        <v>0</v>
      </c>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13149.01</v>
      </c>
      <c r="G110" s="18">
        <v>0</v>
      </c>
      <c r="H110" s="18">
        <v>11875</v>
      </c>
      <c r="I110" s="18"/>
      <c r="J110" s="18">
        <f>I398</f>
        <v>75000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13182.22</v>
      </c>
      <c r="G111" s="41">
        <f>SUM(G96:G110)</f>
        <v>23427.52</v>
      </c>
      <c r="H111" s="41">
        <f>SUM(H96:H110)</f>
        <v>11904.35</v>
      </c>
      <c r="I111" s="41">
        <f>SUM(I96:I110)</f>
        <v>0</v>
      </c>
      <c r="J111" s="41">
        <f>SUM(J96:J110)</f>
        <v>81238.820000000007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2546750.2200000002</v>
      </c>
      <c r="G112" s="41">
        <f>G60+G111</f>
        <v>23427.52</v>
      </c>
      <c r="H112" s="41">
        <f>H60+H79+H94+H111</f>
        <v>11904.35</v>
      </c>
      <c r="I112" s="41">
        <f>I60+I111</f>
        <v>0</v>
      </c>
      <c r="J112" s="41">
        <f>J60+J111</f>
        <v>81238.820000000007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662562.16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359505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1022067.16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521.6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521.6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1022067.16</v>
      </c>
      <c r="G140" s="41">
        <f>G121+SUM(G136:G137)</f>
        <v>521.6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2780.85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7340.58+15947.67+1095.77</f>
        <v>24384.02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24560.66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27969.01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16309.51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28200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f>50869.7-28200</f>
        <v>22669.699999999997</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16309.51</v>
      </c>
      <c r="G163" s="41">
        <f>SUM(G150:G162)</f>
        <v>24560.66</v>
      </c>
      <c r="H163" s="41">
        <f>SUM(H150:H162)</f>
        <v>106003.58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16309.51</v>
      </c>
      <c r="G170" s="41">
        <f>G147+G163+SUM(G164:G169)</f>
        <v>24560.66</v>
      </c>
      <c r="H170" s="41">
        <f>H147+H163+SUM(H164:H169)</f>
        <v>106003.58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27554.400000000001</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27554.400000000001</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43009.87</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43009.87</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43009.87</v>
      </c>
      <c r="G193" s="41">
        <f>G184+SUM(G189:G192)</f>
        <v>27554.400000000001</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3628136.7600000002</v>
      </c>
      <c r="G194" s="47">
        <f>G112+G140+G170+G193</f>
        <v>76064.179999999993</v>
      </c>
      <c r="H194" s="47">
        <f>H112+H140+H170+H193</f>
        <v>117907.93000000001</v>
      </c>
      <c r="I194" s="47">
        <f>I112+I140+I170+I193</f>
        <v>0</v>
      </c>
      <c r="J194" s="47">
        <f>J112+J140+J193</f>
        <v>81238.820000000007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779164.82</v>
      </c>
      <c r="G198" s="18">
        <f>344015.02+43697.98</f>
        <v>387713</v>
      </c>
      <c r="H198" s="18">
        <v>8049.98</v>
      </c>
      <c r="I198" s="18">
        <v>40628.589999999997</v>
      </c>
      <c r="J198" s="18">
        <v>4136.7</v>
      </c>
      <c r="K198" s="18"/>
      <c r="L198" s="19">
        <f>SUM(F198:K198)</f>
        <v>1219693.0899999999</v>
      </c>
      <c r="M198" s="8"/>
      <c r="N198" s="266"/>
    </row>
    <row r="199" spans="1:14" s="3" customFormat="1" ht="12.2" customHeight="1" x14ac:dyDescent="0.15">
      <c r="A199" s="1" t="s">
        <v>439</v>
      </c>
      <c r="B199" s="2" t="s">
        <v>341</v>
      </c>
      <c r="C199" s="2" t="s">
        <v>291</v>
      </c>
      <c r="D199" s="2" t="s">
        <v>431</v>
      </c>
      <c r="E199" s="6">
        <v>1200</v>
      </c>
      <c r="F199" s="18">
        <v>110092.74</v>
      </c>
      <c r="G199" s="18">
        <v>60138.66</v>
      </c>
      <c r="H199" s="18">
        <v>178001.27</v>
      </c>
      <c r="I199" s="18">
        <v>1160.57</v>
      </c>
      <c r="J199" s="18">
        <v>1517.79</v>
      </c>
      <c r="K199" s="18">
        <v>150</v>
      </c>
      <c r="L199" s="19">
        <f>SUM(F199:K199)</f>
        <v>351061.03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52420+52700</f>
        <v>105120</v>
      </c>
      <c r="G203" s="18">
        <f>16007.96+40257.97</f>
        <v>56265.93</v>
      </c>
      <c r="H203" s="18">
        <v>45865.9</v>
      </c>
      <c r="I203" s="18">
        <f>652+13594.28</f>
        <v>14246.28</v>
      </c>
      <c r="J203" s="18">
        <v>13515.91</v>
      </c>
      <c r="K203" s="18">
        <v>150</v>
      </c>
      <c r="L203" s="19">
        <f t="shared" ref="L203:L209" si="0">SUM(F203:K203)</f>
        <v>235164.02</v>
      </c>
      <c r="M203" s="8"/>
      <c r="N203" s="266"/>
    </row>
    <row r="204" spans="1:14" s="3" customFormat="1" ht="12.2" customHeight="1" x14ac:dyDescent="0.15">
      <c r="A204" s="1" t="s">
        <v>443</v>
      </c>
      <c r="B204" s="2" t="s">
        <v>341</v>
      </c>
      <c r="C204" s="2" t="s">
        <v>295</v>
      </c>
      <c r="D204" s="2" t="s">
        <v>431</v>
      </c>
      <c r="E204" s="6">
        <v>2200</v>
      </c>
      <c r="F204" s="18">
        <v>49600</v>
      </c>
      <c r="G204" s="18">
        <v>22949.64</v>
      </c>
      <c r="H204" s="18">
        <f>1870.21+3629.05</f>
        <v>5499.26</v>
      </c>
      <c r="I204" s="18">
        <f>5300.8+221.31+354.48+2</f>
        <v>5878.59</v>
      </c>
      <c r="J204" s="18"/>
      <c r="K204" s="18"/>
      <c r="L204" s="19">
        <f t="shared" si="0"/>
        <v>83927.489999999991</v>
      </c>
      <c r="M204" s="8"/>
      <c r="N204" s="266"/>
    </row>
    <row r="205" spans="1:14" s="3" customFormat="1" ht="12.2" customHeight="1" x14ac:dyDescent="0.15">
      <c r="A205" s="1" t="s">
        <v>444</v>
      </c>
      <c r="B205" s="2" t="s">
        <v>341</v>
      </c>
      <c r="C205" s="2" t="s">
        <v>296</v>
      </c>
      <c r="D205" s="2" t="s">
        <v>431</v>
      </c>
      <c r="E205" s="6">
        <v>2300</v>
      </c>
      <c r="F205" s="18">
        <f>17460.3+1024.35</f>
        <v>18484.649999999998</v>
      </c>
      <c r="G205" s="18">
        <f>1335.87+59.24</f>
        <v>1395.11</v>
      </c>
      <c r="H205" s="18">
        <f>6289.42+12150.6+509.6+194600</f>
        <v>213549.62</v>
      </c>
      <c r="I205" s="18">
        <v>1369.6</v>
      </c>
      <c r="J205" s="18"/>
      <c r="K205" s="18">
        <f>1611.66+4856.88</f>
        <v>6468.54</v>
      </c>
      <c r="L205" s="19">
        <f t="shared" si="0"/>
        <v>241267.52000000002</v>
      </c>
      <c r="M205" s="8"/>
      <c r="N205" s="266"/>
    </row>
    <row r="206" spans="1:14" s="3" customFormat="1" ht="12.2" customHeight="1" x14ac:dyDescent="0.15">
      <c r="A206" s="1" t="s">
        <v>445</v>
      </c>
      <c r="B206" s="2" t="s">
        <v>341</v>
      </c>
      <c r="C206" s="2" t="s">
        <v>297</v>
      </c>
      <c r="D206" s="2" t="s">
        <v>431</v>
      </c>
      <c r="E206" s="6">
        <v>2400</v>
      </c>
      <c r="F206" s="18">
        <v>133477.44</v>
      </c>
      <c r="G206" s="18">
        <f>35000.76+86959.79</f>
        <v>121960.54999999999</v>
      </c>
      <c r="H206" s="18">
        <f>1709.3+816.5</f>
        <v>2525.8000000000002</v>
      </c>
      <c r="I206" s="18">
        <v>267.17</v>
      </c>
      <c r="J206" s="18"/>
      <c r="K206" s="18">
        <v>1829.93</v>
      </c>
      <c r="L206" s="19">
        <f t="shared" si="0"/>
        <v>260060.88999999998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57741.78</v>
      </c>
      <c r="G208" s="18">
        <f>9861.32</f>
        <v>9861.32</v>
      </c>
      <c r="H208" s="18">
        <v>107342.72</v>
      </c>
      <c r="I208" s="18">
        <v>75554.77</v>
      </c>
      <c r="J208" s="18">
        <v>9652.5</v>
      </c>
      <c r="K208" s="18">
        <v>540</v>
      </c>
      <c r="L208" s="19">
        <f t="shared" si="0"/>
        <v>260693.09000000003</v>
      </c>
      <c r="M208" s="8"/>
      <c r="N208" s="266"/>
    </row>
    <row r="209" spans="1:14" s="3" customFormat="1" ht="12.2" customHeight="1" x14ac:dyDescent="0.15">
      <c r="A209" s="1" t="s">
        <v>448</v>
      </c>
      <c r="B209" s="2" t="s">
        <v>341</v>
      </c>
      <c r="C209" s="2" t="s">
        <v>300</v>
      </c>
      <c r="D209" s="2" t="s">
        <v>431</v>
      </c>
      <c r="E209" s="6">
        <v>2700</v>
      </c>
      <c r="F209" s="18"/>
      <c r="G209" s="18"/>
      <c r="H209" s="18">
        <f>10000+120592</f>
        <v>130592</v>
      </c>
      <c r="I209" s="18"/>
      <c r="J209" s="18"/>
      <c r="K209" s="18"/>
      <c r="L209" s="19">
        <f t="shared" si="0"/>
        <v>130592</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1253681.43</v>
      </c>
      <c r="G212" s="41">
        <f t="shared" si="1"/>
        <v>660284.20999999985</v>
      </c>
      <c r="H212" s="41">
        <f t="shared" si="1"/>
        <v>691426.55</v>
      </c>
      <c r="I212" s="41">
        <f t="shared" si="1"/>
        <v>139105.57</v>
      </c>
      <c r="J212" s="41">
        <f t="shared" si="1"/>
        <v>28822.9</v>
      </c>
      <c r="K212" s="41">
        <f t="shared" si="1"/>
        <v>9138.4699999999993</v>
      </c>
      <c r="L212" s="41">
        <f t="shared" si="1"/>
        <v>2782459.13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740573.8</v>
      </c>
      <c r="I234" s="18"/>
      <c r="J234" s="18"/>
      <c r="K234" s="18"/>
      <c r="L234" s="19">
        <f>SUM(F234:K234)</f>
        <v>740573.8</v>
      </c>
      <c r="M234" s="8"/>
      <c r="N234" s="266"/>
    </row>
    <row r="235" spans="1:14" s="3" customFormat="1" ht="12.2" customHeight="1" x14ac:dyDescent="0.15">
      <c r="A235" s="1" t="s">
        <v>439</v>
      </c>
      <c r="B235" s="2" t="s">
        <v>350</v>
      </c>
      <c r="C235" s="2" t="s">
        <v>291</v>
      </c>
      <c r="D235" s="2" t="s">
        <v>431</v>
      </c>
      <c r="E235" s="6">
        <v>1200</v>
      </c>
      <c r="F235" s="18">
        <v>28076.959999999999</v>
      </c>
      <c r="G235" s="18">
        <v>15249.51</v>
      </c>
      <c r="H235" s="18">
        <v>43546.39</v>
      </c>
      <c r="I235" s="18"/>
      <c r="J235" s="18"/>
      <c r="K235" s="18"/>
      <c r="L235" s="19">
        <f>SUM(F235:K235)</f>
        <v>86872.86</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32200</v>
      </c>
      <c r="I245" s="18"/>
      <c r="J245" s="18"/>
      <c r="K245" s="18"/>
      <c r="L245" s="19">
        <f t="shared" si="4"/>
        <v>32200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28076.959999999999</v>
      </c>
      <c r="G248" s="41">
        <f t="shared" si="5"/>
        <v>15249.51</v>
      </c>
      <c r="H248" s="41">
        <f t="shared" si="5"/>
        <v>816320.19000000006</v>
      </c>
      <c r="I248" s="41">
        <f t="shared" si="5"/>
        <v>0</v>
      </c>
      <c r="J248" s="41">
        <f t="shared" si="5"/>
        <v>0</v>
      </c>
      <c r="K248" s="41">
        <f t="shared" si="5"/>
        <v>0</v>
      </c>
      <c r="L248" s="41">
        <f t="shared" si="5"/>
        <v>859646.66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1281758.3899999999</v>
      </c>
      <c r="G258" s="41">
        <f t="shared" si="8"/>
        <v>675533.71999999986</v>
      </c>
      <c r="H258" s="41">
        <f t="shared" si="8"/>
        <v>1507746.7400000002</v>
      </c>
      <c r="I258" s="41">
        <f t="shared" si="8"/>
        <v>139105.57</v>
      </c>
      <c r="J258" s="41">
        <f t="shared" si="8"/>
        <v>28822.9</v>
      </c>
      <c r="K258" s="41">
        <f t="shared" si="8"/>
        <v>9138.4699999999993</v>
      </c>
      <c r="L258" s="41">
        <f t="shared" si="8"/>
        <v>3642105.79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27554.400000000001</v>
      </c>
      <c r="L264" s="19">
        <f>SUM(F264:K264)</f>
        <v>27554.400000000001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27554.400000000001</v>
      </c>
      <c r="L271" s="41">
        <f t="shared" si="9"/>
        <v>27554.400000000001</v>
      </c>
      <c r="M271" s="8"/>
      <c r="N271" s="266"/>
    </row>
    <row r="272" spans="1:14" s="34" customFormat="1" ht="12.2" customHeight="1" thickTop="1" x14ac:dyDescent="0.2">
      <c r="A272" s="43" t="s">
        <v>464</v>
      </c>
      <c r="B272" s="40">
        <v>10</v>
      </c>
      <c r="C272" s="40">
        <v>18</v>
      </c>
      <c r="D272" s="39" t="s">
        <v>431</v>
      </c>
      <c r="E272" s="40"/>
      <c r="F272" s="42">
        <f t="shared" ref="F272:L272" si="11">F258+F271</f>
        <v>1281758.3899999999</v>
      </c>
      <c r="G272" s="42">
        <f t="shared" si="11"/>
        <v>675533.71999999986</v>
      </c>
      <c r="H272" s="42">
        <f t="shared" si="11"/>
        <v>1507746.7400000002</v>
      </c>
      <c r="I272" s="42">
        <f t="shared" si="11"/>
        <v>139105.57</v>
      </c>
      <c r="J272" s="42">
        <f t="shared" si="11"/>
        <v>28822.9</v>
      </c>
      <c r="K272" s="42">
        <f t="shared" si="11"/>
        <v>36692.870000000003</v>
      </c>
      <c r="L272" s="42">
        <f t="shared" si="11"/>
        <v>3669660.19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11855</v>
      </c>
      <c r="G277" s="18"/>
      <c r="H277" s="18">
        <v>1167.4000000000001</v>
      </c>
      <c r="I277" s="18">
        <f>207.41+2791.67</f>
        <v>2999.08</v>
      </c>
      <c r="J277" s="18">
        <f>888.36+2676</f>
        <v>3564.36</v>
      </c>
      <c r="K277" s="18">
        <v>20</v>
      </c>
      <c r="L277" s="19">
        <f>SUM(F277:K277)</f>
        <v>19605.84</v>
      </c>
      <c r="M277" s="8"/>
      <c r="N277" s="266"/>
    </row>
    <row r="278" spans="1:14" s="3" customFormat="1" ht="12.2" customHeight="1" x14ac:dyDescent="0.15">
      <c r="A278" s="1" t="s">
        <v>439</v>
      </c>
      <c r="B278" s="2" t="s">
        <v>357</v>
      </c>
      <c r="C278" s="2" t="s">
        <v>291</v>
      </c>
      <c r="D278" s="2" t="s">
        <v>431</v>
      </c>
      <c r="E278" s="6">
        <v>1200</v>
      </c>
      <c r="F278" s="18">
        <v>20000.099999999999</v>
      </c>
      <c r="G278" s="18"/>
      <c r="H278" s="18">
        <f>629.48+2780.85+6818.97</f>
        <v>10229.299999999999</v>
      </c>
      <c r="I278" s="18">
        <f>599.94+550</f>
        <v>1149.94</v>
      </c>
      <c r="J278" s="18"/>
      <c r="K278" s="18"/>
      <c r="L278" s="19">
        <f>SUM(F278:K278)</f>
        <v>31379.339999999997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10480</v>
      </c>
      <c r="G282" s="18"/>
      <c r="H282" s="18"/>
      <c r="I282" s="18"/>
      <c r="J282" s="18"/>
      <c r="K282" s="18"/>
      <c r="L282" s="19">
        <f t="shared" ref="L282:L288" si="12">SUM(F282:K282)</f>
        <v>10480</v>
      </c>
      <c r="M282" s="8"/>
      <c r="N282" s="266"/>
    </row>
    <row r="283" spans="1:14" s="3" customFormat="1" ht="12.2" customHeight="1" x14ac:dyDescent="0.15">
      <c r="A283" s="1" t="s">
        <v>443</v>
      </c>
      <c r="B283" s="2" t="s">
        <v>357</v>
      </c>
      <c r="C283" s="2" t="s">
        <v>295</v>
      </c>
      <c r="D283" s="2" t="s">
        <v>431</v>
      </c>
      <c r="E283" s="6">
        <v>2200</v>
      </c>
      <c r="F283" s="18">
        <v>500</v>
      </c>
      <c r="G283" s="18"/>
      <c r="H283" s="18">
        <v>5025</v>
      </c>
      <c r="I283" s="18"/>
      <c r="J283" s="18"/>
      <c r="K283" s="18"/>
      <c r="L283" s="19">
        <f t="shared" si="12"/>
        <v>5525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50869.71</v>
      </c>
      <c r="I287" s="18"/>
      <c r="J287" s="18"/>
      <c r="K287" s="18"/>
      <c r="L287" s="19">
        <f t="shared" si="12"/>
        <v>50869.71</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42835.1</v>
      </c>
      <c r="G291" s="42">
        <f t="shared" si="13"/>
        <v>0</v>
      </c>
      <c r="H291" s="42">
        <f t="shared" si="13"/>
        <v>67291.41</v>
      </c>
      <c r="I291" s="42">
        <f t="shared" si="13"/>
        <v>4149.0200000000004</v>
      </c>
      <c r="J291" s="42">
        <f t="shared" si="13"/>
        <v>3564.36</v>
      </c>
      <c r="K291" s="42">
        <f t="shared" si="13"/>
        <v>20</v>
      </c>
      <c r="L291" s="41">
        <f t="shared" si="13"/>
        <v>117859.88999999998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42835.1</v>
      </c>
      <c r="G339" s="41">
        <f t="shared" si="20"/>
        <v>0</v>
      </c>
      <c r="H339" s="41">
        <f t="shared" si="20"/>
        <v>67291.41</v>
      </c>
      <c r="I339" s="41">
        <f t="shared" si="20"/>
        <v>4149.0200000000004</v>
      </c>
      <c r="J339" s="41">
        <f t="shared" si="20"/>
        <v>3564.36</v>
      </c>
      <c r="K339" s="41">
        <f t="shared" si="20"/>
        <v>20</v>
      </c>
      <c r="L339" s="41">
        <f t="shared" si="20"/>
        <v>117859.88999999998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42835.1</v>
      </c>
      <c r="G353" s="41">
        <f>G339</f>
        <v>0</v>
      </c>
      <c r="H353" s="41">
        <f>H339</f>
        <v>67291.41</v>
      </c>
      <c r="I353" s="41">
        <f>I339</f>
        <v>4149.0200000000004</v>
      </c>
      <c r="J353" s="41">
        <f>J339</f>
        <v>3564.36</v>
      </c>
      <c r="K353" s="47">
        <f>K339+K352</f>
        <v>20</v>
      </c>
      <c r="L353" s="41">
        <f>L339+L352</f>
        <v>117859.88999999998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75747.56</v>
      </c>
      <c r="I359" s="18">
        <v>316.62</v>
      </c>
      <c r="J359" s="18"/>
      <c r="K359" s="18"/>
      <c r="L359" s="13">
        <f>SUM(F359:K359)</f>
        <v>76064.179999999993</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75747.56</v>
      </c>
      <c r="I363" s="47">
        <f t="shared" si="22"/>
        <v>316.62</v>
      </c>
      <c r="J363" s="47">
        <f t="shared" si="22"/>
        <v>0</v>
      </c>
      <c r="K363" s="47">
        <f t="shared" si="22"/>
        <v>0</v>
      </c>
      <c r="L363" s="47">
        <f t="shared" si="22"/>
        <v>76064.179999999993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I359</f>
        <v>316.62</v>
      </c>
      <c r="G369" s="63"/>
      <c r="H369" s="63"/>
      <c r="I369" s="56">
        <f>SUM(F369:H369)</f>
        <v>316.62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316.62</v>
      </c>
      <c r="G370" s="47">
        <f>SUM(G368:G369)</f>
        <v>0</v>
      </c>
      <c r="H370" s="47">
        <f>SUM(H368:H369)</f>
        <v>0</v>
      </c>
      <c r="I370" s="47">
        <f>SUM(I368:I369)</f>
        <v>316.62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1393.84</v>
      </c>
      <c r="I397" s="18"/>
      <c r="J397" s="24" t="s">
        <v>288</v>
      </c>
      <c r="K397" s="24" t="s">
        <v>288</v>
      </c>
      <c r="L397" s="56">
        <f t="shared" si="26"/>
        <v>1393.84</v>
      </c>
      <c r="M397" s="8"/>
      <c r="N397" s="266"/>
    </row>
    <row r="398" spans="1:14" s="3" customFormat="1" ht="12.2" customHeight="1" x14ac:dyDescent="0.15">
      <c r="A398" s="79" t="s">
        <v>515</v>
      </c>
      <c r="B398" s="2" t="s">
        <v>381</v>
      </c>
      <c r="C398" s="6">
        <v>10</v>
      </c>
      <c r="D398" s="2" t="s">
        <v>432</v>
      </c>
      <c r="E398" s="6"/>
      <c r="F398" s="18"/>
      <c r="G398" s="18"/>
      <c r="H398" s="18">
        <v>3956.6</v>
      </c>
      <c r="I398" s="18">
        <v>75000</v>
      </c>
      <c r="J398" s="24" t="s">
        <v>288</v>
      </c>
      <c r="K398" s="24" t="s">
        <v>288</v>
      </c>
      <c r="L398" s="56">
        <f t="shared" si="26"/>
        <v>78956.600000000006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f>888.38</f>
        <v>888.38</v>
      </c>
      <c r="I401" s="18"/>
      <c r="J401" s="24" t="s">
        <v>288</v>
      </c>
      <c r="K401" s="24" t="s">
        <v>288</v>
      </c>
      <c r="L401" s="56">
        <f t="shared" si="26"/>
        <v>888.38</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6238.82</v>
      </c>
      <c r="I402" s="47">
        <f>SUM(I396:I401)</f>
        <v>75000</v>
      </c>
      <c r="J402" s="45" t="s">
        <v>288</v>
      </c>
      <c r="K402" s="45" t="s">
        <v>288</v>
      </c>
      <c r="L402" s="47">
        <f>SUM(L396:L401)</f>
        <v>81238.820000000007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6238.82</v>
      </c>
      <c r="I409" s="47">
        <f>I394+I402+I408</f>
        <v>75000</v>
      </c>
      <c r="J409" s="24" t="s">
        <v>288</v>
      </c>
      <c r="K409" s="24" t="s">
        <v>288</v>
      </c>
      <c r="L409" s="47">
        <f>L394+L402+L408</f>
        <v>81238.820000000007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v>43009.87</v>
      </c>
      <c r="L424" s="56">
        <f t="shared" si="29"/>
        <v>43009.87</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43009.87</v>
      </c>
      <c r="L428" s="47">
        <f t="shared" si="30"/>
        <v>43009.87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43009.87</v>
      </c>
      <c r="L435" s="47">
        <f t="shared" si="32"/>
        <v>43009.87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499094.28</v>
      </c>
      <c r="G440" s="18"/>
      <c r="H440" s="18"/>
      <c r="I440" s="56">
        <f t="shared" ref="I440:I446" si="33">SUM(F440:H440)</f>
        <v>499094.28</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499094.28</v>
      </c>
      <c r="G447" s="13">
        <f>SUM(G440:G446)</f>
        <v>0</v>
      </c>
      <c r="H447" s="13">
        <f>SUM(H440:H446)</f>
        <v>0</v>
      </c>
      <c r="I447" s="13">
        <f>SUM(I440:I446)</f>
        <v>499094.28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43009.87</v>
      </c>
      <c r="G449" s="18"/>
      <c r="H449" s="18"/>
      <c r="I449" s="56">
        <f>SUM(F449:H449)</f>
        <v>43009.87</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43009.87</v>
      </c>
      <c r="G453" s="72">
        <f>SUM(G449:G452)</f>
        <v>0</v>
      </c>
      <c r="H453" s="72">
        <f>SUM(H449:H452)</f>
        <v>0</v>
      </c>
      <c r="I453" s="72">
        <f>SUM(I449:I452)</f>
        <v>43009.87</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F447-F453</f>
        <v>456084.41000000003</v>
      </c>
      <c r="G460" s="18"/>
      <c r="H460" s="18"/>
      <c r="I460" s="56">
        <f t="shared" si="34"/>
        <v>456084.41000000003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456084.41000000003</v>
      </c>
      <c r="G461" s="83">
        <f>SUM(G455:G460)</f>
        <v>0</v>
      </c>
      <c r="H461" s="83">
        <f>SUM(H455:H460)</f>
        <v>0</v>
      </c>
      <c r="I461" s="83">
        <f>SUM(I455:I460)</f>
        <v>456084.41000000003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499094.28</v>
      </c>
      <c r="G462" s="42">
        <f>G453+G461</f>
        <v>0</v>
      </c>
      <c r="H462" s="42">
        <f>H453+H461</f>
        <v>0</v>
      </c>
      <c r="I462" s="42">
        <f>I453+I461</f>
        <v>499094.28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24464.829999999143</v>
      </c>
      <c r="G466" s="18">
        <v>0</v>
      </c>
      <c r="H466" s="18">
        <v>54910.489999999991</v>
      </c>
      <c r="I466" s="18">
        <v>0</v>
      </c>
      <c r="J466" s="18">
        <v>405028.62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3628136.7600000002</v>
      </c>
      <c r="G469" s="18">
        <f t="shared" ref="G469:I469" si="35">G194</f>
        <v>76064.179999999993</v>
      </c>
      <c r="H469" s="18">
        <f>H194</f>
        <v>117907.93000000001</v>
      </c>
      <c r="I469" s="18">
        <f t="shared" si="35"/>
        <v>0</v>
      </c>
      <c r="J469" s="18">
        <f>L409</f>
        <v>81238.820000000007</v>
      </c>
      <c r="K469" s="24" t="s">
        <v>288</v>
      </c>
      <c r="L469" s="24" t="s">
        <v>288</v>
      </c>
      <c r="N469" s="265"/>
    </row>
    <row r="470" spans="1:14" s="52" customFormat="1" ht="12.2" customHeight="1" x14ac:dyDescent="0.2">
      <c r="A470" s="93" t="s">
        <v>611</v>
      </c>
      <c r="B470" s="75">
        <v>19</v>
      </c>
      <c r="C470" s="80">
        <v>3</v>
      </c>
      <c r="D470" s="2" t="s">
        <v>432</v>
      </c>
      <c r="E470" s="80"/>
      <c r="F470" s="18">
        <v>32353.3</v>
      </c>
      <c r="G470" s="18">
        <v>58.2</v>
      </c>
      <c r="H470" s="18"/>
      <c r="I470" s="18"/>
      <c r="J470" s="18">
        <v>12826.84</v>
      </c>
      <c r="K470" s="24" t="s">
        <v>288</v>
      </c>
      <c r="L470" s="24" t="s">
        <v>288</v>
      </c>
      <c r="N470" s="265"/>
    </row>
    <row r="471" spans="1:14" s="52" customFormat="1" ht="12.2" customHeight="1" x14ac:dyDescent="0.2">
      <c r="A471" s="92" t="s">
        <v>425</v>
      </c>
      <c r="B471" s="75">
        <v>19</v>
      </c>
      <c r="C471" s="80">
        <v>4</v>
      </c>
      <c r="D471" s="2" t="s">
        <v>432</v>
      </c>
      <c r="E471" s="80"/>
      <c r="F471" s="53">
        <f>SUM(F469:F470)</f>
        <v>3660490.06</v>
      </c>
      <c r="G471" s="53">
        <f>SUM(G469:G470)</f>
        <v>76122.37999999999</v>
      </c>
      <c r="H471" s="53">
        <f>SUM(H469:H470)</f>
        <v>117907.93000000001</v>
      </c>
      <c r="I471" s="53">
        <f>SUM(I469:I470)</f>
        <v>0</v>
      </c>
      <c r="J471" s="53">
        <f>SUM(J469:J470)</f>
        <v>94065.66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3669660.19</v>
      </c>
      <c r="G473" s="18">
        <f>L363</f>
        <v>76064.179999999993</v>
      </c>
      <c r="H473" s="18">
        <f>L353</f>
        <v>117859.88999999998</v>
      </c>
      <c r="I473" s="18"/>
      <c r="J473" s="18">
        <f>L435</f>
        <v>43009.87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3669660.19</v>
      </c>
      <c r="G475" s="53">
        <f>SUM(G473:G474)</f>
        <v>76064.179999999993</v>
      </c>
      <c r="H475" s="53">
        <f>SUM(H473:H474)</f>
        <v>117859.88999999998</v>
      </c>
      <c r="I475" s="53">
        <f>SUM(I473:I474)</f>
        <v>0</v>
      </c>
      <c r="J475" s="53">
        <f>SUM(J473:J474)</f>
        <v>43009.87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15294.699999999255</v>
      </c>
      <c r="G477" s="53">
        <f>(G466+G471)- G475</f>
        <v>58.19999999999709</v>
      </c>
      <c r="H477" s="53">
        <f>(H466+H471)- H475</f>
        <v>54958.53</v>
      </c>
      <c r="I477" s="53">
        <f>(I466+I471)- I475</f>
        <v>0</v>
      </c>
      <c r="J477" s="53">
        <f>(J466+J471)- J475</f>
        <v>456084.41000000003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1673</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6"/>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F199+F278</f>
        <v>130092.84</v>
      </c>
      <c r="G522" s="18">
        <f t="shared" ref="G522:K522" si="37">G199+G278</f>
        <v>60138.66</v>
      </c>
      <c r="H522" s="18">
        <f t="shared" si="37"/>
        <v>188230.56999999998</v>
      </c>
      <c r="I522" s="18">
        <f t="shared" si="37"/>
        <v>2310.5100000000002</v>
      </c>
      <c r="J522" s="18">
        <f t="shared" si="37"/>
        <v>1517.79</v>
      </c>
      <c r="K522" s="18">
        <f t="shared" si="37"/>
        <v>150</v>
      </c>
      <c r="L522" s="88">
        <f>SUM(F522:K522)</f>
        <v>382440.36999999994</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f>F235</f>
        <v>28076.959999999999</v>
      </c>
      <c r="G524" s="18">
        <f t="shared" ref="G524:K524" si="38">G235</f>
        <v>15249.51</v>
      </c>
      <c r="H524" s="18">
        <f t="shared" si="38"/>
        <v>43546.39</v>
      </c>
      <c r="I524" s="18">
        <f t="shared" si="38"/>
        <v>0</v>
      </c>
      <c r="J524" s="18">
        <f t="shared" si="38"/>
        <v>0</v>
      </c>
      <c r="K524" s="18">
        <f t="shared" si="38"/>
        <v>0</v>
      </c>
      <c r="L524" s="88">
        <f>SUM(F524:K524)</f>
        <v>86872.86</v>
      </c>
      <c r="N524" s="265"/>
    </row>
    <row r="525" spans="1:14" s="52" customFormat="1" ht="12.2" customHeight="1" thickTop="1" x14ac:dyDescent="0.2">
      <c r="A525" s="139" t="s">
        <v>63</v>
      </c>
      <c r="B525" s="107">
        <v>21</v>
      </c>
      <c r="C525" s="195">
        <v>4</v>
      </c>
      <c r="D525" s="196" t="s">
        <v>432</v>
      </c>
      <c r="E525" s="195"/>
      <c r="F525" s="108">
        <f>SUM(F522:F524)</f>
        <v>158169.79999999999</v>
      </c>
      <c r="G525" s="108">
        <f t="shared" ref="G525:L525" si="39">SUM(G522:G524)</f>
        <v>75388.17</v>
      </c>
      <c r="H525" s="108">
        <f t="shared" si="39"/>
        <v>231776.95999999996</v>
      </c>
      <c r="I525" s="108">
        <f t="shared" si="39"/>
        <v>2310.5100000000002</v>
      </c>
      <c r="J525" s="108">
        <f t="shared" si="39"/>
        <v>1517.79</v>
      </c>
      <c r="K525" s="108">
        <f t="shared" si="39"/>
        <v>150</v>
      </c>
      <c r="L525" s="89">
        <f t="shared" si="39"/>
        <v>469313.22999999992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F203+F282</f>
        <v>115600</v>
      </c>
      <c r="G527" s="18">
        <f t="shared" ref="G527:K527" si="40">G203+G282</f>
        <v>56265.93</v>
      </c>
      <c r="H527" s="18">
        <f t="shared" si="40"/>
        <v>45865.9</v>
      </c>
      <c r="I527" s="18">
        <f t="shared" si="40"/>
        <v>14246.28</v>
      </c>
      <c r="J527" s="18">
        <f t="shared" si="40"/>
        <v>13515.91</v>
      </c>
      <c r="K527" s="18">
        <f t="shared" si="40"/>
        <v>150</v>
      </c>
      <c r="L527" s="88">
        <f>SUM(F527:K527)</f>
        <v>245644.02</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115600</v>
      </c>
      <c r="G530" s="89">
        <f t="shared" ref="G530:L530" si="41">SUM(G527:G529)</f>
        <v>56265.93</v>
      </c>
      <c r="H530" s="89">
        <f t="shared" si="41"/>
        <v>45865.9</v>
      </c>
      <c r="I530" s="89">
        <f t="shared" si="41"/>
        <v>14246.28</v>
      </c>
      <c r="J530" s="89">
        <f t="shared" si="41"/>
        <v>13515.91</v>
      </c>
      <c r="K530" s="89">
        <f t="shared" si="41"/>
        <v>150</v>
      </c>
      <c r="L530" s="89">
        <f t="shared" si="41"/>
        <v>245644.02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51178</v>
      </c>
      <c r="G532" s="18"/>
      <c r="H532" s="18"/>
      <c r="I532" s="18"/>
      <c r="J532" s="18"/>
      <c r="K532" s="18"/>
      <c r="L532" s="88">
        <f>SUM(F532:K532)</f>
        <v>51178</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51178</v>
      </c>
      <c r="G535" s="89">
        <f t="shared" ref="G535:L535" si="42">SUM(G532:G534)</f>
        <v>0</v>
      </c>
      <c r="H535" s="89">
        <f t="shared" si="42"/>
        <v>0</v>
      </c>
      <c r="I535" s="89">
        <f t="shared" si="42"/>
        <v>0</v>
      </c>
      <c r="J535" s="89">
        <f t="shared" si="42"/>
        <v>0</v>
      </c>
      <c r="K535" s="89">
        <f t="shared" si="42"/>
        <v>0</v>
      </c>
      <c r="L535" s="89">
        <f t="shared" si="42"/>
        <v>51178</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3">SUM(G537:G539)</f>
        <v>0</v>
      </c>
      <c r="H540" s="89">
        <f t="shared" si="43"/>
        <v>0</v>
      </c>
      <c r="I540" s="89">
        <f t="shared" si="43"/>
        <v>0</v>
      </c>
      <c r="J540" s="89">
        <f t="shared" si="43"/>
        <v>0</v>
      </c>
      <c r="K540" s="89">
        <f t="shared" si="43"/>
        <v>0</v>
      </c>
      <c r="L540" s="89">
        <f t="shared" si="43"/>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t="s">
        <v>286</v>
      </c>
      <c r="G542" s="18"/>
      <c r="H542" s="18">
        <f>H593</f>
        <v>10000</v>
      </c>
      <c r="I542" s="18"/>
      <c r="J542" s="18"/>
      <c r="K542" s="18"/>
      <c r="L542" s="88">
        <f>SUM(F542:K542)</f>
        <v>10000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32200</v>
      </c>
      <c r="I544" s="18"/>
      <c r="J544" s="18"/>
      <c r="K544" s="18"/>
      <c r="L544" s="88">
        <f>SUM(F544:K544)</f>
        <v>32200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4">SUM(G542:G544)</f>
        <v>0</v>
      </c>
      <c r="H545" s="193">
        <f t="shared" si="44"/>
        <v>42200</v>
      </c>
      <c r="I545" s="193">
        <f t="shared" si="44"/>
        <v>0</v>
      </c>
      <c r="J545" s="193">
        <f t="shared" si="44"/>
        <v>0</v>
      </c>
      <c r="K545" s="193">
        <f t="shared" si="44"/>
        <v>0</v>
      </c>
      <c r="L545" s="193">
        <f t="shared" si="44"/>
        <v>42200</v>
      </c>
      <c r="M545" s="8"/>
      <c r="N545" s="266"/>
    </row>
    <row r="546" spans="1:14" s="3" customFormat="1" ht="12.2" customHeight="1" thickTop="1" x14ac:dyDescent="0.15">
      <c r="A546" s="98" t="s">
        <v>72</v>
      </c>
      <c r="B546" s="107">
        <v>21</v>
      </c>
      <c r="C546" s="107">
        <v>21</v>
      </c>
      <c r="D546" s="158" t="s">
        <v>432</v>
      </c>
      <c r="E546" s="107"/>
      <c r="F546" s="89">
        <f>F525+F530+F535+F540+F545</f>
        <v>324947.8</v>
      </c>
      <c r="G546" s="89">
        <f t="shared" ref="G546:L546" si="45">G525+G530+G535+G540+G545</f>
        <v>131654.1</v>
      </c>
      <c r="H546" s="89">
        <f t="shared" si="45"/>
        <v>319842.86</v>
      </c>
      <c r="I546" s="89">
        <f t="shared" si="45"/>
        <v>16556.79</v>
      </c>
      <c r="J546" s="89">
        <f t="shared" si="45"/>
        <v>15033.7</v>
      </c>
      <c r="K546" s="89">
        <f t="shared" si="45"/>
        <v>300</v>
      </c>
      <c r="L546" s="89">
        <f t="shared" si="45"/>
        <v>808335.24999999988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382440.36999999994</v>
      </c>
      <c r="G550" s="87">
        <f>L527</f>
        <v>245644.02</v>
      </c>
      <c r="H550" s="87">
        <f>L532</f>
        <v>51178</v>
      </c>
      <c r="I550" s="87">
        <f>L537</f>
        <v>0</v>
      </c>
      <c r="J550" s="87">
        <f>L542</f>
        <v>10000</v>
      </c>
      <c r="K550" s="87">
        <f>SUM(F550:J550)</f>
        <v>689262.3899999999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86872.86</v>
      </c>
      <c r="G552" s="87">
        <f>L529</f>
        <v>0</v>
      </c>
      <c r="H552" s="87">
        <f>L534</f>
        <v>0</v>
      </c>
      <c r="I552" s="87">
        <f>L539</f>
        <v>0</v>
      </c>
      <c r="J552" s="87">
        <f>L544</f>
        <v>32200</v>
      </c>
      <c r="K552" s="87">
        <f>SUM(F552:J552)</f>
        <v>119072.86</v>
      </c>
      <c r="L552" s="24" t="s">
        <v>288</v>
      </c>
      <c r="M552" s="8"/>
      <c r="N552" s="266"/>
    </row>
    <row r="553" spans="1:14" s="3" customFormat="1" ht="12.2" customHeight="1" thickTop="1" x14ac:dyDescent="0.15">
      <c r="A553" s="172" t="s">
        <v>340</v>
      </c>
      <c r="B553" s="44">
        <v>21</v>
      </c>
      <c r="C553" s="44">
        <v>25</v>
      </c>
      <c r="D553" s="39" t="s">
        <v>432</v>
      </c>
      <c r="E553" s="44"/>
      <c r="F553" s="89">
        <f t="shared" ref="F553:K553" si="46">SUM(F550:F552)</f>
        <v>469313.22999999992</v>
      </c>
      <c r="G553" s="89">
        <f t="shared" si="46"/>
        <v>245644.02</v>
      </c>
      <c r="H553" s="89">
        <f t="shared" si="46"/>
        <v>51178</v>
      </c>
      <c r="I553" s="89">
        <f t="shared" si="46"/>
        <v>0</v>
      </c>
      <c r="J553" s="89">
        <f t="shared" si="46"/>
        <v>42200</v>
      </c>
      <c r="K553" s="89">
        <f t="shared" si="46"/>
        <v>808335.24999999988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7">SUM(F558:F560)</f>
        <v>0</v>
      </c>
      <c r="G561" s="108">
        <f t="shared" si="47"/>
        <v>0</v>
      </c>
      <c r="H561" s="108">
        <f t="shared" si="47"/>
        <v>0</v>
      </c>
      <c r="I561" s="108">
        <f t="shared" si="47"/>
        <v>0</v>
      </c>
      <c r="J561" s="108">
        <f t="shared" si="47"/>
        <v>0</v>
      </c>
      <c r="K561" s="108">
        <f t="shared" si="47"/>
        <v>0</v>
      </c>
      <c r="L561" s="89">
        <f t="shared" si="47"/>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8">SUM(F563:F565)</f>
        <v>0</v>
      </c>
      <c r="G566" s="89">
        <f t="shared" si="48"/>
        <v>0</v>
      </c>
      <c r="H566" s="89">
        <f t="shared" si="48"/>
        <v>0</v>
      </c>
      <c r="I566" s="89">
        <f t="shared" si="48"/>
        <v>0</v>
      </c>
      <c r="J566" s="89">
        <f t="shared" si="48"/>
        <v>0</v>
      </c>
      <c r="K566" s="89">
        <f t="shared" si="48"/>
        <v>0</v>
      </c>
      <c r="L566" s="89">
        <f t="shared" si="48"/>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9">SUM(G568:G570)</f>
        <v>0</v>
      </c>
      <c r="H571" s="193">
        <f t="shared" si="49"/>
        <v>0</v>
      </c>
      <c r="I571" s="193">
        <f t="shared" si="49"/>
        <v>0</v>
      </c>
      <c r="J571" s="193">
        <f t="shared" si="49"/>
        <v>0</v>
      </c>
      <c r="K571" s="193">
        <f t="shared" si="49"/>
        <v>0</v>
      </c>
      <c r="L571" s="193">
        <f t="shared" si="49"/>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50">G561+G566+G571</f>
        <v>0</v>
      </c>
      <c r="H572" s="89">
        <f t="shared" si="50"/>
        <v>0</v>
      </c>
      <c r="I572" s="89">
        <f t="shared" si="50"/>
        <v>0</v>
      </c>
      <c r="J572" s="89">
        <f t="shared" si="50"/>
        <v>0</v>
      </c>
      <c r="K572" s="89">
        <f t="shared" si="50"/>
        <v>0</v>
      </c>
      <c r="L572" s="89">
        <f t="shared" si="50"/>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454914</v>
      </c>
      <c r="I576" s="87">
        <f>SUM(F576:H576)</f>
        <v>454914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v>285659.8</v>
      </c>
      <c r="I577" s="87">
        <f t="shared" ref="I577:I588" si="51">SUM(F577:H577)</f>
        <v>285659.8</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51"/>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51"/>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42768.83</v>
      </c>
      <c r="I580" s="87">
        <f t="shared" si="51"/>
        <v>42768.83</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51"/>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51"/>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51"/>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51"/>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51"/>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51"/>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51"/>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51"/>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120592</v>
      </c>
      <c r="I592" s="18"/>
      <c r="J592" s="18"/>
      <c r="K592" s="104">
        <f t="shared" ref="K592:K598" si="52">SUM(H592:J592)</f>
        <v>120592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10000</v>
      </c>
      <c r="I593" s="18"/>
      <c r="J593" s="18">
        <v>32200</v>
      </c>
      <c r="K593" s="104">
        <f t="shared" si="52"/>
        <v>42200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52"/>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52"/>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52"/>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2"/>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2"/>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130592</v>
      </c>
      <c r="I599" s="108">
        <f>SUM(I592:I598)</f>
        <v>0</v>
      </c>
      <c r="J599" s="108">
        <f>SUM(J592:J598)</f>
        <v>32200</v>
      </c>
      <c r="K599" s="108">
        <f>SUM(K592:K598)</f>
        <v>162792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4"/>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J258+J339</f>
        <v>32387.260000000002</v>
      </c>
      <c r="I605" s="18"/>
      <c r="J605" s="18"/>
      <c r="K605" s="104">
        <f>SUM(H605:J605)</f>
        <v>32387.260000000002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SUM(H604:H605)</f>
        <v>32387.260000000002</v>
      </c>
      <c r="I606" s="108">
        <f>SUM(I603:I605)</f>
        <v>0</v>
      </c>
      <c r="J606" s="108">
        <f>SUM(J603:J605)</f>
        <v>0</v>
      </c>
      <c r="K606" s="108">
        <f>SUM(K603:K605)</f>
        <v>32387.260000000002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3">SUM(F612:F614)</f>
        <v>0</v>
      </c>
      <c r="G615" s="108">
        <f t="shared" si="53"/>
        <v>0</v>
      </c>
      <c r="H615" s="108">
        <f t="shared" si="53"/>
        <v>0</v>
      </c>
      <c r="I615" s="108">
        <f t="shared" si="53"/>
        <v>0</v>
      </c>
      <c r="J615" s="108">
        <f t="shared" si="53"/>
        <v>0</v>
      </c>
      <c r="K615" s="108">
        <f t="shared" si="53"/>
        <v>0</v>
      </c>
      <c r="L615" s="89">
        <f t="shared" si="53"/>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37701.590000000004</v>
      </c>
      <c r="H618" s="109">
        <f>SUM(F52)</f>
        <v>37701.589999999997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10715.2</v>
      </c>
      <c r="H619" s="109">
        <f>SUM(G52)</f>
        <v>10715.2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110920.59000000001</v>
      </c>
      <c r="H620" s="109">
        <f>SUM(H52)</f>
        <v>110920.59000000001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499094.28</v>
      </c>
      <c r="H622" s="109">
        <f>SUM(J52)</f>
        <v>499094.28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15294.7</v>
      </c>
      <c r="H623" s="109">
        <f>F477</f>
        <v>15294.699999999255</v>
      </c>
      <c r="I623" s="121" t="s">
        <v>101</v>
      </c>
      <c r="J623" s="109">
        <f t="shared" ref="J623:J656" si="54">G623-H623</f>
        <v>7.4578565545380116E-10</v>
      </c>
      <c r="K623" s="109"/>
      <c r="L623" s="109"/>
      <c r="M623" s="8"/>
    </row>
    <row r="624" spans="1:14" s="3" customFormat="1" ht="12.2" customHeight="1" x14ac:dyDescent="0.15">
      <c r="A624" s="97"/>
      <c r="B624" s="105"/>
      <c r="C624" s="119"/>
      <c r="D624" s="119"/>
      <c r="E624" s="119"/>
      <c r="F624" s="119" t="s">
        <v>866</v>
      </c>
      <c r="G624" s="109">
        <f>G51</f>
        <v>58.200000000000728</v>
      </c>
      <c r="H624" s="109">
        <f>G477</f>
        <v>58.19999999999709</v>
      </c>
      <c r="I624" s="121" t="s">
        <v>102</v>
      </c>
      <c r="J624" s="109">
        <f t="shared" si="54"/>
        <v>3.637978807091713E-12</v>
      </c>
      <c r="K624" s="109"/>
      <c r="L624" s="109"/>
      <c r="M624" s="8"/>
    </row>
    <row r="625" spans="1:13" s="3" customFormat="1" ht="12.2" customHeight="1" x14ac:dyDescent="0.15">
      <c r="A625" s="97"/>
      <c r="B625" s="105"/>
      <c r="C625" s="105"/>
      <c r="D625" s="105"/>
      <c r="E625" s="105"/>
      <c r="F625" s="120" t="s">
        <v>867</v>
      </c>
      <c r="G625" s="109">
        <f>H51</f>
        <v>54958.530000000006</v>
      </c>
      <c r="H625" s="109">
        <f>H477</f>
        <v>54958.53</v>
      </c>
      <c r="I625" s="121" t="s">
        <v>103</v>
      </c>
      <c r="J625" s="109">
        <f t="shared" si="54"/>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4"/>
        <v>0</v>
      </c>
      <c r="K626" s="109"/>
      <c r="L626" s="109"/>
      <c r="M626" s="8"/>
    </row>
    <row r="627" spans="1:13" s="3" customFormat="1" ht="12.2" customHeight="1" x14ac:dyDescent="0.15">
      <c r="A627" s="22"/>
      <c r="B627" s="105"/>
      <c r="C627" s="105"/>
      <c r="D627" s="105"/>
      <c r="E627" s="105"/>
      <c r="F627" s="120" t="s">
        <v>869</v>
      </c>
      <c r="G627" s="109">
        <f>J51</f>
        <v>456084.41000000003</v>
      </c>
      <c r="H627" s="109">
        <f>J477</f>
        <v>456084.41000000003</v>
      </c>
      <c r="I627" s="140" t="s">
        <v>105</v>
      </c>
      <c r="J627" s="109">
        <f t="shared" si="54"/>
        <v>0</v>
      </c>
      <c r="K627" s="85"/>
      <c r="L627" s="88"/>
      <c r="M627" s="8"/>
    </row>
    <row r="628" spans="1:13" s="3" customFormat="1" ht="12.2" customHeight="1" x14ac:dyDescent="0.15">
      <c r="A628" s="22"/>
      <c r="B628" s="105"/>
      <c r="C628" s="105"/>
      <c r="D628" s="105"/>
      <c r="E628" s="105"/>
      <c r="F628" s="120" t="s">
        <v>658</v>
      </c>
      <c r="G628" s="109">
        <f>F194</f>
        <v>3628136.7600000002</v>
      </c>
      <c r="H628" s="104">
        <f>SUM(F469)</f>
        <v>3628136.7600000002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76064.179999999993</v>
      </c>
      <c r="H629" s="104">
        <f>SUM(G469)</f>
        <v>76064.179999999993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117907.93000000001</v>
      </c>
      <c r="H630" s="104">
        <f>SUM(H469)</f>
        <v>117907.93000000001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81238.820000000007</v>
      </c>
      <c r="H632" s="104">
        <f>SUM(J469)</f>
        <v>81238.820000000007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3669660.19</v>
      </c>
      <c r="H633" s="104">
        <f>SUM(F473)</f>
        <v>3669660.19</v>
      </c>
      <c r="I633" s="140" t="s">
        <v>111</v>
      </c>
      <c r="J633" s="109">
        <f t="shared" si="54"/>
        <v>0</v>
      </c>
      <c r="K633" s="85"/>
      <c r="L633" s="88"/>
      <c r="M633" s="8"/>
    </row>
    <row r="634" spans="1:13" s="3" customFormat="1" ht="12.2" customHeight="1" x14ac:dyDescent="0.15">
      <c r="A634" s="22"/>
      <c r="B634" s="105"/>
      <c r="C634" s="105"/>
      <c r="D634" s="105"/>
      <c r="E634" s="105"/>
      <c r="F634" s="120" t="s">
        <v>395</v>
      </c>
      <c r="G634" s="109">
        <f>SUM(L353)</f>
        <v>117859.88999999998</v>
      </c>
      <c r="H634" s="104">
        <f>SUM(H473)</f>
        <v>117859.88999999998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316.62</v>
      </c>
      <c r="H635" s="104">
        <f>I370</f>
        <v>316.62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76064.179999999993</v>
      </c>
      <c r="H636" s="104">
        <f>SUM(G473)</f>
        <v>76064.179999999993</v>
      </c>
      <c r="I636" s="140" t="s">
        <v>114</v>
      </c>
      <c r="J636" s="109">
        <f t="shared" si="54"/>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4"/>
        <v>0</v>
      </c>
      <c r="K637" s="85"/>
      <c r="L637" s="88"/>
      <c r="M637" s="8"/>
    </row>
    <row r="638" spans="1:13" s="3" customFormat="1" ht="12.2" customHeight="1" x14ac:dyDescent="0.15">
      <c r="A638" s="161"/>
      <c r="B638" s="162"/>
      <c r="C638" s="162"/>
      <c r="D638" s="162"/>
      <c r="E638" s="162"/>
      <c r="F638" s="163" t="s">
        <v>477</v>
      </c>
      <c r="G638" s="151">
        <f>SUM(L409)</f>
        <v>81238.820000000007</v>
      </c>
      <c r="H638" s="164">
        <f>SUM(J469)</f>
        <v>81238.820000000007</v>
      </c>
      <c r="I638" s="165" t="s">
        <v>110</v>
      </c>
      <c r="J638" s="151">
        <f t="shared" si="54"/>
        <v>0</v>
      </c>
      <c r="K638" s="166"/>
      <c r="L638" s="167"/>
      <c r="M638" s="8"/>
    </row>
    <row r="639" spans="1:13" s="3" customFormat="1" ht="12.2" customHeight="1" x14ac:dyDescent="0.15">
      <c r="A639" s="161"/>
      <c r="B639" s="162"/>
      <c r="C639" s="162"/>
      <c r="D639" s="162"/>
      <c r="E639" s="162"/>
      <c r="F639" s="163" t="s">
        <v>478</v>
      </c>
      <c r="G639" s="151">
        <f>SUM(L435)</f>
        <v>43009.87</v>
      </c>
      <c r="H639" s="164">
        <f>SUM(J473)</f>
        <v>43009.87</v>
      </c>
      <c r="I639" s="165" t="s">
        <v>117</v>
      </c>
      <c r="J639" s="151">
        <f t="shared" si="54"/>
        <v>0</v>
      </c>
      <c r="K639" s="166"/>
      <c r="L639" s="167"/>
      <c r="M639" s="8"/>
    </row>
    <row r="640" spans="1:13" s="3" customFormat="1" ht="12.2" customHeight="1" x14ac:dyDescent="0.15">
      <c r="A640" s="22"/>
      <c r="B640" s="105"/>
      <c r="C640" s="105"/>
      <c r="D640" s="105"/>
      <c r="E640" s="105"/>
      <c r="F640" s="120" t="s">
        <v>118</v>
      </c>
      <c r="G640" s="109">
        <f>SUM(F447)</f>
        <v>499094.28</v>
      </c>
      <c r="H640" s="104">
        <f>SUM(F462)</f>
        <v>499094.28</v>
      </c>
      <c r="I640" s="140" t="s">
        <v>841</v>
      </c>
      <c r="J640" s="109">
        <f t="shared" si="54"/>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4"/>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4"/>
        <v>0</v>
      </c>
      <c r="K642" s="85"/>
      <c r="L642" s="88"/>
      <c r="M642" s="8"/>
    </row>
    <row r="643" spans="1:13" s="3" customFormat="1" ht="12.2" customHeight="1" x14ac:dyDescent="0.15">
      <c r="A643" s="22"/>
      <c r="B643" s="105"/>
      <c r="C643" s="105"/>
      <c r="D643" s="105"/>
      <c r="E643" s="105"/>
      <c r="F643" s="120" t="s">
        <v>121</v>
      </c>
      <c r="G643" s="109">
        <f>SUM(I447)</f>
        <v>499094.28</v>
      </c>
      <c r="H643" s="104">
        <f>SUM(I462)</f>
        <v>499094.28</v>
      </c>
      <c r="I643" s="140" t="s">
        <v>844</v>
      </c>
      <c r="J643" s="109">
        <f t="shared" si="54"/>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4"/>
        <v>0</v>
      </c>
      <c r="K644" s="85"/>
      <c r="L644" s="88"/>
      <c r="M644" s="8"/>
    </row>
    <row r="645" spans="1:13" s="3" customFormat="1" ht="12.2" customHeight="1" x14ac:dyDescent="0.15">
      <c r="A645" s="22"/>
      <c r="B645" s="105"/>
      <c r="C645" s="105"/>
      <c r="D645" s="105"/>
      <c r="E645" s="105"/>
      <c r="F645" s="120" t="s">
        <v>663</v>
      </c>
      <c r="G645" s="109">
        <f>J96</f>
        <v>6238.82</v>
      </c>
      <c r="H645" s="104">
        <f>H409</f>
        <v>6238.82</v>
      </c>
      <c r="I645" s="140" t="s">
        <v>480</v>
      </c>
      <c r="J645" s="109">
        <f t="shared" si="54"/>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4"/>
        <v>0</v>
      </c>
      <c r="K646" s="85"/>
      <c r="L646" s="88"/>
      <c r="M646" s="8"/>
    </row>
    <row r="647" spans="1:13" s="3" customFormat="1" ht="12.2" customHeight="1" x14ac:dyDescent="0.15">
      <c r="A647" s="22"/>
      <c r="B647" s="105"/>
      <c r="C647" s="105"/>
      <c r="D647" s="105"/>
      <c r="E647" s="105"/>
      <c r="F647" s="120" t="s">
        <v>662</v>
      </c>
      <c r="G647" s="109">
        <f>J194</f>
        <v>81238.820000000007</v>
      </c>
      <c r="H647" s="104">
        <f>L409</f>
        <v>81238.820000000007</v>
      </c>
      <c r="I647" s="140" t="s">
        <v>477</v>
      </c>
      <c r="J647" s="109">
        <f t="shared" si="54"/>
        <v>0</v>
      </c>
      <c r="K647" s="85"/>
      <c r="L647" s="88"/>
      <c r="M647" s="8"/>
    </row>
    <row r="648" spans="1:13" s="3" customFormat="1" ht="12.2" customHeight="1" x14ac:dyDescent="0.15">
      <c r="A648" s="22"/>
      <c r="B648" s="105"/>
      <c r="C648" s="105"/>
      <c r="D648" s="105"/>
      <c r="E648" s="105"/>
      <c r="F648" s="120" t="s">
        <v>51</v>
      </c>
      <c r="G648" s="109">
        <f>K599</f>
        <v>162792</v>
      </c>
      <c r="H648" s="104">
        <f>L209+L227+L245</f>
        <v>162792</v>
      </c>
      <c r="I648" s="140" t="s">
        <v>396</v>
      </c>
      <c r="J648" s="109">
        <f t="shared" si="54"/>
        <v>0</v>
      </c>
      <c r="K648" s="85"/>
      <c r="L648" s="88"/>
      <c r="M648" s="8"/>
    </row>
    <row r="649" spans="1:13" s="3" customFormat="1" ht="12.2" customHeight="1" x14ac:dyDescent="0.15">
      <c r="A649" s="22"/>
      <c r="B649" s="105"/>
      <c r="C649" s="105"/>
      <c r="D649" s="105"/>
      <c r="E649" s="105"/>
      <c r="F649" s="120" t="s">
        <v>52</v>
      </c>
      <c r="G649" s="109">
        <f>K606</f>
        <v>32387.260000000002</v>
      </c>
      <c r="H649" s="104">
        <f>(J258+J339)-(J256+J337)</f>
        <v>32387.260000000002</v>
      </c>
      <c r="I649" s="140" t="s">
        <v>699</v>
      </c>
      <c r="J649" s="109">
        <f t="shared" si="54"/>
        <v>0</v>
      </c>
      <c r="K649" s="85"/>
      <c r="L649" s="88"/>
      <c r="M649" s="8"/>
    </row>
    <row r="650" spans="1:13" s="3" customFormat="1" ht="12.2" customHeight="1" x14ac:dyDescent="0.15">
      <c r="A650" s="22"/>
      <c r="B650" s="105"/>
      <c r="C650" s="105"/>
      <c r="D650" s="105"/>
      <c r="E650" s="105"/>
      <c r="F650" s="120" t="s">
        <v>387</v>
      </c>
      <c r="G650" s="109">
        <f>L209</f>
        <v>130592</v>
      </c>
      <c r="H650" s="104">
        <f>H599</f>
        <v>130592</v>
      </c>
      <c r="I650" s="140" t="s">
        <v>388</v>
      </c>
      <c r="J650" s="109">
        <f t="shared" si="54"/>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4"/>
        <v>0</v>
      </c>
      <c r="K651" s="85"/>
      <c r="L651" s="88"/>
      <c r="M651" s="8"/>
    </row>
    <row r="652" spans="1:13" s="3" customFormat="1" ht="12.2" customHeight="1" x14ac:dyDescent="0.15">
      <c r="A652" s="22"/>
      <c r="B652" s="105"/>
      <c r="C652" s="105"/>
      <c r="D652" s="105"/>
      <c r="E652" s="105"/>
      <c r="F652" s="120" t="s">
        <v>393</v>
      </c>
      <c r="G652" s="109">
        <f>L245</f>
        <v>32200</v>
      </c>
      <c r="H652" s="104">
        <f>J599</f>
        <v>32200</v>
      </c>
      <c r="I652" s="140" t="s">
        <v>390</v>
      </c>
      <c r="J652" s="109">
        <f t="shared" si="54"/>
        <v>0</v>
      </c>
      <c r="K652" s="85"/>
      <c r="L652" s="88"/>
      <c r="M652" s="8"/>
    </row>
    <row r="653" spans="1:13" s="3" customFormat="1" ht="12.2" customHeight="1" x14ac:dyDescent="0.15">
      <c r="A653" s="22"/>
      <c r="B653" s="105"/>
      <c r="C653" s="105"/>
      <c r="D653" s="105"/>
      <c r="E653" s="105"/>
      <c r="F653" s="120" t="s">
        <v>665</v>
      </c>
      <c r="G653" s="109">
        <f>G180</f>
        <v>27554.400000000001</v>
      </c>
      <c r="H653" s="104">
        <f>K264+K346</f>
        <v>27554.400000000001</v>
      </c>
      <c r="I653" s="140" t="s">
        <v>397</v>
      </c>
      <c r="J653" s="109">
        <f t="shared" si="54"/>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4"/>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4"/>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4"/>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2976383.2</v>
      </c>
      <c r="G661" s="19">
        <f>(L230+L310+L360)</f>
        <v>0</v>
      </c>
      <c r="H661" s="19">
        <f>(L248+L329+L361)</f>
        <v>859646.66</v>
      </c>
      <c r="I661" s="19">
        <f>SUM(F661:H661)</f>
        <v>3836029.8600000003</v>
      </c>
      <c r="J661" s="13"/>
      <c r="K661" s="13"/>
      <c r="L661" s="13"/>
      <c r="M661" s="9"/>
    </row>
    <row r="662" spans="1:13" s="3" customFormat="1" ht="12.2" customHeight="1" x14ac:dyDescent="0.2">
      <c r="A662" s="1" t="s">
        <v>127</v>
      </c>
      <c r="F662" s="19">
        <f>(L359/IF(SUM(L359:L361)=0,1,SUM(L359:L361))*(SUM(G97:G110)))</f>
        <v>23427.52</v>
      </c>
      <c r="G662" s="19">
        <f>(L360/IF(SUM(L359:L361)=0,1,SUM(L359:L361))*(SUM(G97:G110)))</f>
        <v>0</v>
      </c>
      <c r="H662" s="19">
        <f>(L361/IF(SUM(L359:L361)=0,1,SUM(L359:L361))*(SUM(G97:G110)))</f>
        <v>0</v>
      </c>
      <c r="I662" s="19">
        <f>SUM(F662:H662)</f>
        <v>23427.52</v>
      </c>
      <c r="J662"/>
      <c r="K662" s="13"/>
      <c r="L662" s="13"/>
      <c r="M662" s="8"/>
    </row>
    <row r="663" spans="1:13" s="3" customFormat="1" ht="12.2" customHeight="1" x14ac:dyDescent="0.2">
      <c r="A663" s="1" t="s">
        <v>128</v>
      </c>
      <c r="F663" s="19">
        <f>(L209+L288)-(J209+J288)</f>
        <v>130592</v>
      </c>
      <c r="G663" s="19">
        <f>(L227+L307)-(J227+J307)</f>
        <v>0</v>
      </c>
      <c r="H663" s="19">
        <f>(L245+L326)-(J245+J326)</f>
        <v>32200</v>
      </c>
      <c r="I663" s="19">
        <f>SUM(F663:H663)</f>
        <v>162792</v>
      </c>
      <c r="J663"/>
      <c r="K663" s="13"/>
      <c r="L663" s="13"/>
      <c r="M663" s="9"/>
    </row>
    <row r="664" spans="1:13" s="3" customFormat="1" ht="12.2" customHeight="1" x14ac:dyDescent="0.15">
      <c r="A664" s="198" t="s">
        <v>129</v>
      </c>
      <c r="B664" s="169"/>
      <c r="C664" s="169"/>
      <c r="D664" s="169"/>
      <c r="E664" s="169"/>
      <c r="F664" s="199">
        <f>SUM(F576:F588)+SUM(H604:H605)+SUM(L612)</f>
        <v>32387.260000000002</v>
      </c>
      <c r="G664" s="199">
        <f>SUM(G576:G588)+SUM(I603:I605)+L613</f>
        <v>0</v>
      </c>
      <c r="H664" s="199">
        <f>SUM(H576:H588)+SUM(J603:J605)+L614</f>
        <v>783342.63</v>
      </c>
      <c r="I664" s="19">
        <f>SUM(F664:H664)</f>
        <v>815729.89</v>
      </c>
      <c r="J664" s="13"/>
      <c r="K664" s="13"/>
      <c r="L664" s="13"/>
      <c r="M664" s="9"/>
    </row>
    <row r="665" spans="1:13" s="3" customFormat="1" ht="12.2" customHeight="1" x14ac:dyDescent="0.15">
      <c r="A665" s="1" t="s">
        <v>130</v>
      </c>
      <c r="F665" s="19">
        <f>F661-SUM(F662:F664)</f>
        <v>2789976.4200000004</v>
      </c>
      <c r="G665" s="19">
        <f>G661-SUM(G662:G664)</f>
        <v>0</v>
      </c>
      <c r="H665" s="19">
        <f>H661-SUM(H662:H664)</f>
        <v>44104.030000000028</v>
      </c>
      <c r="I665" s="19">
        <f>I661-SUM(I662:I664)</f>
        <v>2834080.45</v>
      </c>
      <c r="J665" s="13"/>
      <c r="K665" s="13"/>
      <c r="L665" s="13"/>
      <c r="M665" s="8"/>
    </row>
    <row r="666" spans="1:13" s="3" customFormat="1" ht="12.2" customHeight="1" x14ac:dyDescent="0.2">
      <c r="A666" s="1" t="s">
        <v>131</v>
      </c>
      <c r="F666" s="246">
        <v>103.89</v>
      </c>
      <c r="G666" s="247"/>
      <c r="H666" s="247"/>
      <c r="I666" s="19">
        <f>SUM(F666:H666)</f>
        <v>103.89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26855.1</v>
      </c>
      <c r="G668" s="19" t="e">
        <f>ROUND(G665/G666,2)</f>
        <v>#DIV/0!</v>
      </c>
      <c r="H668" s="19" t="e">
        <f>ROUND(H665/H666,2)</f>
        <v>#DIV/0!</v>
      </c>
      <c r="I668" s="19">
        <f>ROUND(I665/I666,2)</f>
        <v>27279.63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-44104.03</v>
      </c>
      <c r="I670" s="19">
        <f>SUM(F670:H670)</f>
        <v>-44104.03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26855.1</v>
      </c>
      <c r="G673" s="19" t="e">
        <f>ROUND((G665+G670)/(G666+G671),2)</f>
        <v>#DIV/0!</v>
      </c>
      <c r="H673" s="19" t="e">
        <f>ROUND((H665+H670)/(H666+H671),2)</f>
        <v>#DIV/0!</v>
      </c>
      <c r="I673" s="19">
        <f>ROUND((I665+I670)/(I666+I671),2)</f>
        <v>26855.1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7" sqref="E27"/>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22669.699999999997</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28200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50869.7</f>
        <v>50869.7</v>
      </c>
      <c r="F22" s="348"/>
    </row>
    <row r="23" spans="2:8" x14ac:dyDescent="0.25">
      <c r="B23" s="348"/>
      <c r="C23" s="348"/>
      <c r="D23" s="348"/>
      <c r="E23" s="348"/>
      <c r="F23" s="348"/>
    </row>
    <row r="24" spans="2:8" ht="26.25" customHeight="1" x14ac:dyDescent="0.25">
      <c r="B24" s="348"/>
      <c r="C24" s="350" t="s">
        <v>1661</v>
      </c>
      <c r="D24" s="348"/>
      <c r="E24" s="343">
        <v>15358.92</v>
      </c>
      <c r="F24" s="348"/>
    </row>
    <row r="25" spans="2:8" ht="18" x14ac:dyDescent="0.25">
      <c r="B25" s="348"/>
      <c r="C25" s="351"/>
      <c r="D25" s="348"/>
      <c r="E25" s="348"/>
      <c r="F25" s="348"/>
    </row>
    <row r="26" spans="2:8" ht="27.75" customHeight="1" x14ac:dyDescent="0.25">
      <c r="B26" s="348"/>
      <c r="C26" s="350" t="s">
        <v>1662</v>
      </c>
      <c r="D26" s="348"/>
      <c r="E26" s="343">
        <v>35510.75</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Cornish School District</v>
      </c>
      <c r="C5" s="364"/>
      <c r="D5" s="364"/>
      <c r="E5" s="364"/>
      <c r="F5" s="364"/>
    </row>
    <row r="8" spans="1:9" ht="18" x14ac:dyDescent="0.25">
      <c r="A8" s="319" t="s">
        <v>1576</v>
      </c>
      <c r="F8" s="326" t="s">
        <v>1594</v>
      </c>
    </row>
    <row r="9" spans="1:9" ht="15" x14ac:dyDescent="0.2">
      <c r="A9" s="317" t="s">
        <v>1577</v>
      </c>
      <c r="B9" s="320">
        <f>'DOE25'!G97</f>
        <v>23427.52</v>
      </c>
      <c r="F9" s="317" t="s">
        <v>1590</v>
      </c>
    </row>
    <row r="10" spans="1:9" ht="15" x14ac:dyDescent="0.2">
      <c r="A10" s="317" t="s">
        <v>1578</v>
      </c>
      <c r="B10" s="320">
        <f>'DOE25'!G112-'DOE25'!G97</f>
        <v>0</v>
      </c>
      <c r="F10" s="317" t="s">
        <v>1591</v>
      </c>
    </row>
    <row r="11" spans="1:9" ht="15" x14ac:dyDescent="0.2">
      <c r="A11" s="317" t="s">
        <v>1579</v>
      </c>
      <c r="B11" s="320">
        <f>'DOE25'!G140</f>
        <v>521.6</v>
      </c>
      <c r="F11" s="317" t="s">
        <v>1592</v>
      </c>
    </row>
    <row r="12" spans="1:9" ht="15" x14ac:dyDescent="0.2">
      <c r="A12" s="317" t="s">
        <v>1580</v>
      </c>
      <c r="B12" s="320">
        <f>'DOE25'!G170</f>
        <v>24560.66</v>
      </c>
      <c r="F12" s="317" t="s">
        <v>1593</v>
      </c>
    </row>
    <row r="13" spans="1:9" ht="15" x14ac:dyDescent="0.2">
      <c r="A13" s="317" t="s">
        <v>1581</v>
      </c>
      <c r="B13" s="320">
        <f>'DOE25'!G193-'DOE25'!G180</f>
        <v>0</v>
      </c>
      <c r="F13" s="317" t="s">
        <v>1603</v>
      </c>
    </row>
    <row r="14" spans="1:9" ht="18" x14ac:dyDescent="0.25">
      <c r="A14" s="319" t="s">
        <v>732</v>
      </c>
      <c r="B14" s="321">
        <f>SUM(B9:B13)</f>
        <v>48509.78</v>
      </c>
    </row>
    <row r="16" spans="1:9" ht="18" x14ac:dyDescent="0.25">
      <c r="A16" s="319" t="s">
        <v>786</v>
      </c>
      <c r="F16" s="326" t="s">
        <v>1595</v>
      </c>
    </row>
    <row r="17" spans="1:6" ht="15" x14ac:dyDescent="0.2">
      <c r="A17" s="317" t="s">
        <v>1582</v>
      </c>
      <c r="B17" s="320">
        <f>'DOE25'!L363-'DOE25'!L362</f>
        <v>76064.179999999993</v>
      </c>
      <c r="F17" s="317" t="s">
        <v>1596</v>
      </c>
    </row>
    <row r="18" spans="1:6" ht="15" x14ac:dyDescent="0.2">
      <c r="A18" s="317" t="s">
        <v>1583</v>
      </c>
      <c r="B18" s="330"/>
      <c r="F18" s="326" t="s">
        <v>1620</v>
      </c>
    </row>
    <row r="19" spans="1:6" ht="18" x14ac:dyDescent="0.25">
      <c r="A19" s="319" t="s">
        <v>725</v>
      </c>
      <c r="B19" s="321">
        <f>SUM(B17:B18)</f>
        <v>76064.179999999993</v>
      </c>
    </row>
    <row r="21" spans="1:6" ht="18.75" thickBot="1" x14ac:dyDescent="0.3">
      <c r="A21" s="319" t="s">
        <v>1584</v>
      </c>
    </row>
    <row r="22" spans="1:6" ht="18.75" thickTop="1" x14ac:dyDescent="0.25">
      <c r="A22" s="319" t="s">
        <v>1585</v>
      </c>
      <c r="B22" s="325">
        <f>B14-B19</f>
        <v>-27554.399999999994</v>
      </c>
      <c r="F22" s="317" t="s">
        <v>1597</v>
      </c>
    </row>
    <row r="26" spans="1:6" ht="18" x14ac:dyDescent="0.25">
      <c r="A26" s="319" t="s">
        <v>186</v>
      </c>
    </row>
    <row r="27" spans="1:6" ht="15" x14ac:dyDescent="0.2">
      <c r="A27" s="317" t="s">
        <v>1586</v>
      </c>
      <c r="B27" s="320">
        <f>'DOE25'!G180</f>
        <v>27554.400000000001</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58.19999999999709</v>
      </c>
      <c r="F33" s="317" t="s">
        <v>1601</v>
      </c>
    </row>
    <row r="36" spans="1:6" ht="15" x14ac:dyDescent="0.2">
      <c r="A36" s="317" t="s">
        <v>1587</v>
      </c>
      <c r="B36" s="331">
        <v>1539.18</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3"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Cornish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791019.82</v>
      </c>
      <c r="C9" s="229">
        <f>'DOE25'!G198+'DOE25'!G216+'DOE25'!G234+'DOE25'!G277+'DOE25'!G296+'DOE25'!G315</f>
        <v>387713</v>
      </c>
    </row>
    <row r="10" spans="1:3" x14ac:dyDescent="0.2">
      <c r="A10" t="s">
        <v>775</v>
      </c>
      <c r="B10" s="240">
        <v>664383.46</v>
      </c>
      <c r="C10" s="240">
        <v>325643.05</v>
      </c>
    </row>
    <row r="11" spans="1:3" x14ac:dyDescent="0.2">
      <c r="A11" t="s">
        <v>776</v>
      </c>
      <c r="B11" s="240">
        <f>93886.13+11855</f>
        <v>105741.13</v>
      </c>
      <c r="C11" s="240">
        <v>51828.3</v>
      </c>
    </row>
    <row r="12" spans="1:3" x14ac:dyDescent="0.2">
      <c r="A12" t="s">
        <v>777</v>
      </c>
      <c r="B12" s="240">
        <v>20895.23</v>
      </c>
      <c r="C12" s="240">
        <v>10241.65</v>
      </c>
    </row>
    <row r="13" spans="1:3" x14ac:dyDescent="0.2">
      <c r="A13" t="str">
        <f>IF(B9=B13,IF(C9=C13,"Check Total OK","Check Total Error"),"Check Total Error")</f>
        <v>Check Total OK</v>
      </c>
      <c r="B13" s="231">
        <f>SUM(B10:B12)</f>
        <v>791019.82</v>
      </c>
      <c r="C13" s="231">
        <f>SUM(C10:C12)</f>
        <v>387713</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158169.80000000002</v>
      </c>
      <c r="C18" s="229">
        <f>'DOE25'!G199+'DOE25'!G217+'DOE25'!G235+'DOE25'!G278+'DOE25'!G297+'DOE25'!G316</f>
        <v>75388.17</v>
      </c>
    </row>
    <row r="19" spans="1:3" x14ac:dyDescent="0.2">
      <c r="A19" t="s">
        <v>775</v>
      </c>
      <c r="B19" s="240">
        <f>20000.01+42899.9</f>
        <v>62899.91</v>
      </c>
      <c r="C19" s="240">
        <v>29979.86</v>
      </c>
    </row>
    <row r="20" spans="1:3" x14ac:dyDescent="0.2">
      <c r="A20" t="s">
        <v>776</v>
      </c>
      <c r="B20" s="240">
        <f>66472.84+28078.96-1.91</f>
        <v>94549.889999999985</v>
      </c>
      <c r="C20" s="240">
        <v>45065.13</v>
      </c>
    </row>
    <row r="21" spans="1:3" x14ac:dyDescent="0.2">
      <c r="A21" t="s">
        <v>777</v>
      </c>
      <c r="B21" s="240">
        <v>720</v>
      </c>
      <c r="C21" s="240">
        <v>343.18</v>
      </c>
    </row>
    <row r="22" spans="1:3" x14ac:dyDescent="0.2">
      <c r="A22" t="str">
        <f>IF(B18=B22,IF(C18=C22,"Check Total OK","Check Total Error"),"Check Total Error")</f>
        <v>Check Total OK</v>
      </c>
      <c r="B22" s="231">
        <f>SUM(B19:B21)</f>
        <v>158169.79999999999</v>
      </c>
      <c r="C22" s="231">
        <f>SUM(C19:C21)</f>
        <v>75388.169999999984</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Cornish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2398200.7799999998</v>
      </c>
      <c r="D5" s="20">
        <f>SUM('DOE25'!L198:L201)+SUM('DOE25'!L216:L219)+SUM('DOE25'!L234:L237)-F5-G5-H5</f>
        <v>2392396.2899999996</v>
      </c>
      <c r="E5" s="243"/>
      <c r="F5" s="244"/>
      <c r="G5" s="53">
        <f>SUM('DOE25'!J198:J201)+SUM('DOE25'!J216:J219)+SUM('DOE25'!J234:J237)</f>
        <v>5654.49</v>
      </c>
      <c r="H5" s="53">
        <f>SUM('DOE25'!K198:K201)+SUM('DOE25'!K216:K219)+SUM('DOE25'!K234:K237)</f>
        <v>150</v>
      </c>
      <c r="I5" s="256"/>
    </row>
    <row r="6" spans="1:9" x14ac:dyDescent="0.2">
      <c r="A6" s="32">
        <v>2100</v>
      </c>
      <c r="B6" t="s">
        <v>796</v>
      </c>
      <c r="C6" s="275">
        <f t="shared" si="0"/>
        <v>235164.02</v>
      </c>
      <c r="D6" s="20">
        <f>'DOE25'!L203+'DOE25'!L221+'DOE25'!L239-F6-G6-H6</f>
        <v>221498.11</v>
      </c>
      <c r="E6" s="243"/>
      <c r="F6" s="244"/>
      <c r="G6" s="53">
        <f>'DOE25'!J203+'DOE25'!J221+'DOE25'!J239</f>
        <v>13515.91</v>
      </c>
      <c r="H6" s="53">
        <f>'DOE25'!K203+'DOE25'!K221+'DOE25'!K239</f>
        <v>150</v>
      </c>
      <c r="I6" s="256"/>
    </row>
    <row r="7" spans="1:9" x14ac:dyDescent="0.2">
      <c r="A7" s="32">
        <v>2200</v>
      </c>
      <c r="B7" t="s">
        <v>821</v>
      </c>
      <c r="C7" s="275">
        <f t="shared" si="0"/>
        <v>83927.489999999991</v>
      </c>
      <c r="D7" s="20">
        <f>'DOE25'!L204+'DOE25'!L222+'DOE25'!L240-F7-G7-H7</f>
        <v>83927.489999999991</v>
      </c>
      <c r="E7" s="243"/>
      <c r="F7" s="244"/>
      <c r="G7" s="53">
        <f>'DOE25'!J204+'DOE25'!J222+'DOE25'!J240</f>
        <v>0</v>
      </c>
      <c r="H7" s="53">
        <f>'DOE25'!K204+'DOE25'!K222+'DOE25'!K240</f>
        <v>0</v>
      </c>
      <c r="I7" s="256"/>
    </row>
    <row r="8" spans="1:9" x14ac:dyDescent="0.2">
      <c r="A8" s="32">
        <v>2300</v>
      </c>
      <c r="B8" t="s">
        <v>797</v>
      </c>
      <c r="C8" s="275">
        <f t="shared" si="0"/>
        <v>18174.020000000011</v>
      </c>
      <c r="D8" s="243"/>
      <c r="E8" s="20">
        <f>'DOE25'!L205+'DOE25'!L223+'DOE25'!L241-F8-G8-H8-D9-D11</f>
        <v>11705.48000000001</v>
      </c>
      <c r="F8" s="244"/>
      <c r="G8" s="53">
        <f>'DOE25'!J205+'DOE25'!J223+'DOE25'!J241</f>
        <v>0</v>
      </c>
      <c r="H8" s="53">
        <f>'DOE25'!K205+'DOE25'!K223+'DOE25'!K241</f>
        <v>6468.54</v>
      </c>
      <c r="I8" s="256"/>
    </row>
    <row r="9" spans="1:9" ht="14.25" x14ac:dyDescent="0.2">
      <c r="A9" s="32">
        <v>2310</v>
      </c>
      <c r="B9" s="185" t="s">
        <v>888</v>
      </c>
      <c r="C9" s="275">
        <f t="shared" si="0"/>
        <v>0</v>
      </c>
      <c r="D9" s="244"/>
      <c r="E9" s="243"/>
      <c r="F9" s="253"/>
      <c r="G9" s="253"/>
      <c r="H9" s="253"/>
      <c r="I9" s="256"/>
    </row>
    <row r="10" spans="1:9" ht="14.25" x14ac:dyDescent="0.2">
      <c r="A10" s="32">
        <v>2317</v>
      </c>
      <c r="B10" s="185" t="s">
        <v>889</v>
      </c>
      <c r="C10" s="275">
        <f t="shared" si="0"/>
        <v>8525</v>
      </c>
      <c r="D10" s="243"/>
      <c r="E10" s="244">
        <v>8525</v>
      </c>
      <c r="F10" s="253"/>
      <c r="G10" s="253"/>
      <c r="H10" s="253"/>
      <c r="I10" s="256"/>
    </row>
    <row r="11" spans="1:9" ht="14.25" x14ac:dyDescent="0.2">
      <c r="A11" s="32">
        <v>2321</v>
      </c>
      <c r="B11" s="185" t="s">
        <v>890</v>
      </c>
      <c r="C11" s="275">
        <f t="shared" si="0"/>
        <v>223093.5</v>
      </c>
      <c r="D11" s="244">
        <v>223093.5</v>
      </c>
      <c r="E11" s="243"/>
      <c r="F11" s="253"/>
      <c r="G11" s="253"/>
      <c r="H11" s="253"/>
      <c r="I11" s="256"/>
    </row>
    <row r="12" spans="1:9" x14ac:dyDescent="0.2">
      <c r="A12" s="32">
        <v>2400</v>
      </c>
      <c r="B12" t="s">
        <v>711</v>
      </c>
      <c r="C12" s="275">
        <f t="shared" si="0"/>
        <v>260060.88999999998</v>
      </c>
      <c r="D12" s="20">
        <f>'DOE25'!L206+'DOE25'!L224+'DOE25'!L242-F12-G12-H12</f>
        <v>258230.96</v>
      </c>
      <c r="E12" s="243"/>
      <c r="F12" s="244"/>
      <c r="G12" s="53">
        <f>'DOE25'!J206+'DOE25'!J224+'DOE25'!J242</f>
        <v>0</v>
      </c>
      <c r="H12" s="53">
        <f>'DOE25'!K206+'DOE25'!K224+'DOE25'!K242</f>
        <v>1829.93</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260693.09000000003</v>
      </c>
      <c r="D14" s="20">
        <f>'DOE25'!L208+'DOE25'!L226+'DOE25'!L244-F14-G14-H14</f>
        <v>250500.59000000003</v>
      </c>
      <c r="E14" s="243"/>
      <c r="F14" s="244"/>
      <c r="G14" s="53">
        <f>'DOE25'!J208+'DOE25'!J226+'DOE25'!J244</f>
        <v>9652.5</v>
      </c>
      <c r="H14" s="53">
        <f>'DOE25'!K208+'DOE25'!K226+'DOE25'!K244</f>
        <v>540</v>
      </c>
      <c r="I14" s="256"/>
    </row>
    <row r="15" spans="1:9" x14ac:dyDescent="0.2">
      <c r="A15" s="32">
        <v>2700</v>
      </c>
      <c r="B15" t="s">
        <v>799</v>
      </c>
      <c r="C15" s="275">
        <f t="shared" si="0"/>
        <v>162792</v>
      </c>
      <c r="D15" s="20">
        <f>'DOE25'!L209+'DOE25'!L227+'DOE25'!L245-F15-G15-H15</f>
        <v>162792</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76064.179999999993</v>
      </c>
      <c r="D29" s="283">
        <f>'DOE25'!L359+'DOE25'!L360+'DOE25'!L361-'DOE25'!I368-F29-G29-H29</f>
        <v>76064.179999999993</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117859.88999999998</v>
      </c>
      <c r="D31" s="20">
        <f>'DOE25'!L291+'DOE25'!L310+'DOE25'!L329+'DOE25'!L334+'DOE25'!L335+'DOE25'!L336-F31-G31-H31</f>
        <v>114275.52999999998</v>
      </c>
      <c r="E31" s="243"/>
      <c r="F31" s="244"/>
      <c r="G31" s="53">
        <f>'DOE25'!J291+'DOE25'!J310+'DOE25'!J329+'DOE25'!J334+'DOE25'!J335+'DOE25'!J336</f>
        <v>3564.36</v>
      </c>
      <c r="H31" s="53">
        <f>'DOE25'!K291+'DOE25'!K310+'DOE25'!K329+'DOE25'!K334+'DOE25'!K335+'DOE25'!K336</f>
        <v>20</v>
      </c>
      <c r="I31" s="256"/>
    </row>
    <row r="32" spans="1:9" ht="12" thickBot="1" x14ac:dyDescent="0.25">
      <c r="C32" s="276"/>
      <c r="G32" s="251"/>
      <c r="H32" s="251"/>
      <c r="I32" s="258"/>
    </row>
    <row r="33" spans="1:9" ht="12" thickTop="1" x14ac:dyDescent="0.2">
      <c r="B33" t="s">
        <v>809</v>
      </c>
      <c r="D33" s="245">
        <f t="shared" ref="D33:I33" si="1">SUM(D5:D31)</f>
        <v>3782778.6499999994</v>
      </c>
      <c r="E33" s="245">
        <f t="shared" si="1"/>
        <v>20230.48000000001</v>
      </c>
      <c r="F33" s="245">
        <f t="shared" si="1"/>
        <v>0</v>
      </c>
      <c r="G33" s="245">
        <f t="shared" si="1"/>
        <v>32387.260000000002</v>
      </c>
      <c r="H33" s="245">
        <f t="shared" si="1"/>
        <v>9158.4699999999993</v>
      </c>
      <c r="I33" s="245">
        <f t="shared" si="1"/>
        <v>0</v>
      </c>
    </row>
    <row r="35" spans="1:9" ht="12" thickBot="1" x14ac:dyDescent="0.25">
      <c r="B35" s="251" t="s">
        <v>831</v>
      </c>
      <c r="D35" s="252">
        <f>E33</f>
        <v>20230.48000000001</v>
      </c>
      <c r="E35" s="248"/>
      <c r="F35" s="335" t="s">
        <v>1632</v>
      </c>
      <c r="G35" s="336"/>
      <c r="H35" s="336"/>
      <c r="I35" s="336"/>
    </row>
    <row r="36" spans="1:9" ht="12" thickTop="1" x14ac:dyDescent="0.2">
      <c r="B36" t="s">
        <v>810</v>
      </c>
      <c r="D36" s="20">
        <f>D33</f>
        <v>3782778.6499999994</v>
      </c>
      <c r="F36" s="338"/>
      <c r="G36" s="337" t="str">
        <f>IF(F36=0,"&lt;&lt;&lt;&lt;&lt; YOU HAVE NOT CHOSEN IF YOU WANT AN INDIRECT COST RATE!!","")</f>
        <v>&lt;&lt;&lt;&lt;&lt; YOU HAVE NOT CHOSEN IF YOU WANT AN INDIRECT COST RATE!!</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Cornish School District</v>
      </c>
      <c r="B2" s="126">
        <f>'DOE25'!B2</f>
        <v>115</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2900319.02</v>
      </c>
      <c r="G4" s="302">
        <f>'DOE25'!L212+'DOE25'!L291</f>
        <v>2900319.02</v>
      </c>
      <c r="H4" s="355">
        <f>F4-G4</f>
        <v>0</v>
      </c>
      <c r="I4" s="372" t="str">
        <f>IF(H4=0,"","ISSUES!! Please review page 7 and 11 totals in comparison with total on this page")</f>
        <v/>
      </c>
      <c r="N4"/>
    </row>
    <row r="5" spans="1:18" x14ac:dyDescent="0.2">
      <c r="A5" s="21" t="s">
        <v>996</v>
      </c>
      <c r="B5" s="303">
        <f>IFERROR(VLOOKUP(A5,'School Tables'!$C$3:$D$365,2,FALSE),"")</f>
        <v>20175</v>
      </c>
      <c r="C5" s="296" t="str">
        <f>IFERROR(INDEX('School Tables'!$B$3:$B$365,MATCH('School Level Expenditures'!B5,'School Tables'!$D$3:$D$365,0)),"")</f>
        <v>Cornish</v>
      </c>
      <c r="D5" s="293">
        <v>2796434.07</v>
      </c>
      <c r="E5" s="293">
        <v>103884.95</v>
      </c>
      <c r="F5" s="306">
        <f>D5+E5</f>
        <v>2900319.02</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2796434.07</v>
      </c>
      <c r="E21" s="353">
        <f>SUM(E5:E20)</f>
        <v>103884.95</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859646.66</v>
      </c>
      <c r="G36" s="302">
        <f>'DOE25'!L248+'DOE25'!L329</f>
        <v>859646.66</v>
      </c>
      <c r="H36" s="355">
        <f>IF(AND(D43='DOE25'!L248,'School Level Expenditures'!E43='DOE25'!L329),'School Level Expenditures'!F36-'School Level Expenditures'!G36,"Does not match page 7 or 11 totals!!")</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f>+'DOE25'!L248</f>
        <v>859646.66</v>
      </c>
      <c r="E37" s="293"/>
      <c r="F37" s="306">
        <f t="shared" ref="F37:F42" si="2">D37+E37</f>
        <v>859646.66</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859646.66</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Cornish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-64596.1</v>
      </c>
      <c r="D8" s="95">
        <f>'DOE25'!G9</f>
        <v>0</v>
      </c>
      <c r="E8" s="95">
        <f>'DOE25'!H9</f>
        <v>76582.390000000014</v>
      </c>
      <c r="F8" s="95" t="str">
        <f>'DOE25'!I9</f>
        <v xml:space="preserve"> </v>
      </c>
      <c r="G8" s="95">
        <f>'DOE25'!J9</f>
        <v>499094.28</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102297.69</v>
      </c>
      <c r="D11" s="95">
        <f>'DOE25'!G12</f>
        <v>0</v>
      </c>
      <c r="E11" s="95">
        <f>'DOE25'!H12</f>
        <v>0</v>
      </c>
      <c r="F11" s="95">
        <f>'DOE25'!I12</f>
        <v>0</v>
      </c>
      <c r="G11" s="95">
        <f>'DOE25'!J12</f>
        <v>0</v>
      </c>
      <c r="H11" s="124"/>
      <c r="I11" s="124"/>
    </row>
    <row r="12" spans="1:9" x14ac:dyDescent="0.2">
      <c r="A12" s="1" t="s">
        <v>143</v>
      </c>
      <c r="B12" s="6">
        <v>140</v>
      </c>
      <c r="C12" s="95">
        <f>'DOE25'!F13</f>
        <v>0</v>
      </c>
      <c r="D12" s="95">
        <f>'DOE25'!G13</f>
        <v>7006.1</v>
      </c>
      <c r="E12" s="95">
        <f>'DOE25'!H13</f>
        <v>34338.199999999997</v>
      </c>
      <c r="F12" s="95">
        <f>'DOE25'!I13</f>
        <v>0</v>
      </c>
      <c r="G12" s="95">
        <f>'DOE25'!J13</f>
        <v>0</v>
      </c>
      <c r="H12" s="124"/>
      <c r="I12" s="124"/>
    </row>
    <row r="13" spans="1:9" x14ac:dyDescent="0.2">
      <c r="A13" s="1" t="s">
        <v>144</v>
      </c>
      <c r="B13" s="6">
        <v>150</v>
      </c>
      <c r="C13" s="95">
        <f>'DOE25'!F14</f>
        <v>0</v>
      </c>
      <c r="D13" s="95">
        <f>'DOE25'!G14</f>
        <v>3709.1</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37701.590000000004</v>
      </c>
      <c r="D18" s="41">
        <f>SUM(D8:D17)</f>
        <v>10715.2</v>
      </c>
      <c r="E18" s="41">
        <f>SUM(E8:E17)</f>
        <v>110920.59000000001</v>
      </c>
      <c r="F18" s="41">
        <f>SUM(F8:F17)</f>
        <v>0</v>
      </c>
      <c r="G18" s="41">
        <f>SUM(G8:G17)</f>
        <v>499094.28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4557.8500000000004</v>
      </c>
      <c r="E21" s="95">
        <f>'DOE25'!H22</f>
        <v>54729.970000000008</v>
      </c>
      <c r="F21" s="95">
        <f>'DOE25'!I22</f>
        <v>0</v>
      </c>
      <c r="G21" s="95">
        <f>'DOE25'!J22</f>
        <v>43009.87</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21221.91</v>
      </c>
      <c r="D23" s="95">
        <f>'DOE25'!G24</f>
        <v>6099.15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1184.98</v>
      </c>
      <c r="D28" s="95">
        <f>'DOE25'!G29</f>
        <v>0</v>
      </c>
      <c r="E28" s="95">
        <f>'DOE25'!H29</f>
        <v>15.31</v>
      </c>
      <c r="F28" s="95">
        <f>'DOE25'!I29</f>
        <v>0</v>
      </c>
      <c r="G28" s="24" t="s">
        <v>288</v>
      </c>
      <c r="H28" s="124"/>
      <c r="I28" s="124"/>
    </row>
    <row r="29" spans="1:9" x14ac:dyDescent="0.2">
      <c r="A29" s="1" t="s">
        <v>158</v>
      </c>
      <c r="B29" s="6">
        <v>480</v>
      </c>
      <c r="C29" s="95">
        <f>'DOE25'!F30</f>
        <v>0</v>
      </c>
      <c r="D29" s="95">
        <f>'DOE25'!G30</f>
        <v>0</v>
      </c>
      <c r="E29" s="95">
        <f>'DOE25'!H30</f>
        <v>1216.78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22406.89</v>
      </c>
      <c r="D31" s="41">
        <f>SUM(D21:D30)</f>
        <v>10657</v>
      </c>
      <c r="E31" s="41">
        <f>SUM(E21:E30)</f>
        <v>55962.060000000005</v>
      </c>
      <c r="F31" s="41">
        <f>SUM(F21:F30)</f>
        <v>0</v>
      </c>
      <c r="G31" s="41">
        <f>SUM(G21:G30)</f>
        <v>43009.87</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58.200000000000728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54958.530000000006</v>
      </c>
      <c r="F47" s="95">
        <f>'DOE25'!I48</f>
        <v>0</v>
      </c>
      <c r="G47" s="95">
        <f>'DOE25'!J48</f>
        <v>456084.41000000003</v>
      </c>
      <c r="H47" s="124"/>
      <c r="I47" s="124"/>
    </row>
    <row r="48" spans="1:9" x14ac:dyDescent="0.2">
      <c r="A48" s="1" t="s">
        <v>882</v>
      </c>
      <c r="B48" s="6">
        <v>753</v>
      </c>
      <c r="C48" s="95">
        <f>'DOE25'!F49</f>
        <v>15294.7</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15294.7</v>
      </c>
      <c r="D50" s="41">
        <f>SUM(D34:D49)</f>
        <v>58.200000000000728</v>
      </c>
      <c r="E50" s="41">
        <f>SUM(E34:E49)</f>
        <v>54958.530000000006</v>
      </c>
      <c r="F50" s="41">
        <f>SUM(F34:F49)</f>
        <v>0</v>
      </c>
      <c r="G50" s="41">
        <f>SUM(G34:G49)</f>
        <v>456084.41000000003</v>
      </c>
      <c r="H50" s="124"/>
      <c r="I50" s="124"/>
    </row>
    <row r="51" spans="1:9" ht="12" thickTop="1" x14ac:dyDescent="0.2">
      <c r="A51" s="38" t="s">
        <v>885</v>
      </c>
      <c r="B51" s="2"/>
      <c r="C51" s="41">
        <f>C50+C31</f>
        <v>37701.589999999997</v>
      </c>
      <c r="D51" s="41">
        <f>D50+D31</f>
        <v>10715.2</v>
      </c>
      <c r="E51" s="41">
        <f>E50+E31</f>
        <v>110920.59000000001</v>
      </c>
      <c r="F51" s="41">
        <f>F50+F31</f>
        <v>0</v>
      </c>
      <c r="G51" s="41">
        <f>G50+G31</f>
        <v>499094.28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2533568</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33.21</v>
      </c>
      <c r="D59" s="95">
        <f>'DOE25'!G96</f>
        <v>0</v>
      </c>
      <c r="E59" s="95">
        <f>'DOE25'!H96</f>
        <v>29.35</v>
      </c>
      <c r="F59" s="95">
        <f>'DOE25'!I96</f>
        <v>0</v>
      </c>
      <c r="G59" s="95">
        <f>'DOE25'!J96</f>
        <v>6238.82</v>
      </c>
      <c r="H59"/>
      <c r="I59"/>
    </row>
    <row r="60" spans="1:9" x14ac:dyDescent="0.2">
      <c r="A60" s="1" t="s">
        <v>170</v>
      </c>
      <c r="B60" s="118" t="s">
        <v>171</v>
      </c>
      <c r="C60" s="24" t="s">
        <v>288</v>
      </c>
      <c r="D60" s="95">
        <f>'DOE25'!G97</f>
        <v>23427.52</v>
      </c>
      <c r="E60" s="24" t="s">
        <v>288</v>
      </c>
      <c r="F60" s="24" t="s">
        <v>288</v>
      </c>
      <c r="G60" s="24" t="s">
        <v>288</v>
      </c>
      <c r="H60"/>
      <c r="I60"/>
    </row>
    <row r="61" spans="1:9" ht="12" thickBot="1" x14ac:dyDescent="0.25">
      <c r="A61" s="1" t="s">
        <v>172</v>
      </c>
      <c r="B61" s="118" t="s">
        <v>173</v>
      </c>
      <c r="C61" s="95">
        <f>SUM('DOE25'!F98:F110)</f>
        <v>13149.01</v>
      </c>
      <c r="D61" s="95">
        <f>SUM('DOE25'!G98:G110)</f>
        <v>0</v>
      </c>
      <c r="E61" s="95">
        <f>SUM('DOE25'!H98:H110)</f>
        <v>11875</v>
      </c>
      <c r="F61" s="95">
        <f>SUM('DOE25'!I98:I110)</f>
        <v>0</v>
      </c>
      <c r="G61" s="95">
        <f>SUM('DOE25'!J98:J110)</f>
        <v>75000</v>
      </c>
      <c r="H61"/>
      <c r="I61"/>
    </row>
    <row r="62" spans="1:9" ht="12.75" thickTop="1" thickBot="1" x14ac:dyDescent="0.25">
      <c r="A62" s="29" t="s">
        <v>174</v>
      </c>
      <c r="B62" s="6"/>
      <c r="C62" s="130">
        <f>SUM(C57:C61)</f>
        <v>13182.22</v>
      </c>
      <c r="D62" s="130">
        <f>SUM(D57:D61)</f>
        <v>23427.52</v>
      </c>
      <c r="E62" s="130">
        <f>SUM(E57:E61)</f>
        <v>11904.35</v>
      </c>
      <c r="F62" s="130">
        <f>SUM(F57:F61)</f>
        <v>0</v>
      </c>
      <c r="G62" s="130">
        <f>SUM(G57:G61)</f>
        <v>81238.820000000007</v>
      </c>
      <c r="H62"/>
      <c r="I62"/>
    </row>
    <row r="63" spans="1:9" ht="12" thickTop="1" x14ac:dyDescent="0.2">
      <c r="A63" s="29" t="s">
        <v>175</v>
      </c>
      <c r="B63" s="6"/>
      <c r="C63" s="22">
        <f>C56+C62</f>
        <v>2546750.2200000002</v>
      </c>
      <c r="D63" s="22">
        <f>D56+D62</f>
        <v>23427.52</v>
      </c>
      <c r="E63" s="22">
        <f>E56+E62</f>
        <v>11904.35</v>
      </c>
      <c r="F63" s="22">
        <f>F56+F62</f>
        <v>0</v>
      </c>
      <c r="G63" s="22">
        <f>G56+G62</f>
        <v>81238.820000000007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662562.16</v>
      </c>
      <c r="D66" s="24" t="s">
        <v>288</v>
      </c>
      <c r="E66" s="24" t="s">
        <v>288</v>
      </c>
      <c r="F66" s="24" t="s">
        <v>288</v>
      </c>
      <c r="G66" s="24" t="s">
        <v>288</v>
      </c>
      <c r="H66"/>
      <c r="I66"/>
    </row>
    <row r="67" spans="1:9" x14ac:dyDescent="0.2">
      <c r="A67" s="1" t="s">
        <v>770</v>
      </c>
      <c r="B67" s="6">
        <v>3112</v>
      </c>
      <c r="C67" s="95">
        <f>'DOE25'!F118</f>
        <v>359505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1022067.16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521.6</v>
      </c>
      <c r="E77" s="95">
        <f>SUM('DOE25'!H131:H135)</f>
        <v>0</v>
      </c>
      <c r="F77" s="95">
        <f>SUM('DOE25'!I131:I135)</f>
        <v>0</v>
      </c>
      <c r="G77" s="95">
        <f>SUM('DOE25'!J131:J135)</f>
        <v>0</v>
      </c>
      <c r="H77"/>
      <c r="I77"/>
    </row>
    <row r="78" spans="1:9" ht="12.75" thickTop="1" thickBot="1" x14ac:dyDescent="0.25">
      <c r="A78" s="29" t="s">
        <v>259</v>
      </c>
      <c r="B78" s="6"/>
      <c r="C78" s="130">
        <f>SUM(C72:C77)</f>
        <v>0</v>
      </c>
      <c r="D78" s="130">
        <f>SUM(D72:D77)</f>
        <v>521.6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1022067.16</v>
      </c>
      <c r="D81" s="130">
        <f>SUM(D79:D80)+D78+D70</f>
        <v>521.6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16309.51</v>
      </c>
      <c r="D88" s="333">
        <f>SUM('DOE25'!G153:G162)</f>
        <v>24560.66</v>
      </c>
      <c r="E88" s="333">
        <f>SUM('DOE25'!H153:H162)</f>
        <v>106003.58</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16309.51</v>
      </c>
      <c r="D91" s="131">
        <f>SUM(D85:D90)</f>
        <v>24560.66</v>
      </c>
      <c r="E91" s="131">
        <f>SUM(E85:E90)</f>
        <v>106003.58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27554.400000000001</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43009.87</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43009.87</v>
      </c>
      <c r="D103" s="86">
        <f>SUM(D93:D102)</f>
        <v>27554.400000000001</v>
      </c>
      <c r="E103" s="86">
        <f>SUM(E93:E102)</f>
        <v>0</v>
      </c>
      <c r="F103" s="86">
        <f>SUM(F93:F102)</f>
        <v>0</v>
      </c>
      <c r="G103" s="86">
        <f>SUM(G93:G102)</f>
        <v>0</v>
      </c>
    </row>
    <row r="104" spans="1:7" ht="12.75" thickTop="1" thickBot="1" x14ac:dyDescent="0.25">
      <c r="A104" s="33" t="s">
        <v>761</v>
      </c>
      <c r="C104" s="86">
        <f>C63+C81+C91+C103</f>
        <v>3628136.7600000002</v>
      </c>
      <c r="D104" s="86">
        <f>D63+D81+D91+D103</f>
        <v>76064.179999999993</v>
      </c>
      <c r="E104" s="86">
        <f>E63+E81+E91+E103</f>
        <v>117907.93000000001</v>
      </c>
      <c r="F104" s="86">
        <f>F63+F81+F91+F103</f>
        <v>0</v>
      </c>
      <c r="G104" s="86">
        <f>G63+G81+G103</f>
        <v>81238.820000000007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1960266.89</v>
      </c>
      <c r="D109" s="24" t="s">
        <v>288</v>
      </c>
      <c r="E109" s="95">
        <f>('DOE25'!L277)+('DOE25'!L296)+('DOE25'!L315)</f>
        <v>19605.84</v>
      </c>
      <c r="F109" s="24" t="s">
        <v>288</v>
      </c>
      <c r="G109" s="24" t="s">
        <v>288</v>
      </c>
    </row>
    <row r="110" spans="1:7" x14ac:dyDescent="0.2">
      <c r="A110" t="s">
        <v>198</v>
      </c>
      <c r="B110" s="32" t="s">
        <v>199</v>
      </c>
      <c r="C110" s="95">
        <f>('DOE25'!L199)+('DOE25'!L217)+('DOE25'!L235)</f>
        <v>437933.89</v>
      </c>
      <c r="D110" s="24" t="s">
        <v>288</v>
      </c>
      <c r="E110" s="95">
        <f>('DOE25'!L278)+('DOE25'!L297)+('DOE25'!L316)</f>
        <v>31379.339999999997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2398200.7799999998</v>
      </c>
      <c r="D115" s="86">
        <f>SUM(D109:D114)</f>
        <v>0</v>
      </c>
      <c r="E115" s="86">
        <f>SUM(E109:E114)</f>
        <v>50985.179999999993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235164.02</v>
      </c>
      <c r="D118" s="24" t="s">
        <v>288</v>
      </c>
      <c r="E118" s="95">
        <f>+('DOE25'!L282)+('DOE25'!L301)+('DOE25'!L320)</f>
        <v>10480</v>
      </c>
      <c r="F118" s="24" t="s">
        <v>288</v>
      </c>
      <c r="G118" s="24" t="s">
        <v>288</v>
      </c>
    </row>
    <row r="119" spans="1:7" x14ac:dyDescent="0.2">
      <c r="A119" t="s">
        <v>208</v>
      </c>
      <c r="B119" s="32" t="s">
        <v>209</v>
      </c>
      <c r="C119" s="95">
        <f>('DOE25'!L204)+('DOE25'!L222)+('DOE25'!L240)</f>
        <v>83927.489999999991</v>
      </c>
      <c r="D119" s="24" t="s">
        <v>288</v>
      </c>
      <c r="E119" s="95">
        <f>+('DOE25'!L283)+('DOE25'!L302)+('DOE25'!L321)</f>
        <v>5525</v>
      </c>
      <c r="F119" s="24" t="s">
        <v>288</v>
      </c>
      <c r="G119" s="24" t="s">
        <v>288</v>
      </c>
    </row>
    <row r="120" spans="1:7" x14ac:dyDescent="0.2">
      <c r="A120" t="s">
        <v>210</v>
      </c>
      <c r="B120" s="32" t="s">
        <v>211</v>
      </c>
      <c r="C120" s="95">
        <f>('DOE25'!L205)+('DOE25'!L223)+('DOE25'!L241)</f>
        <v>241267.52000000002</v>
      </c>
      <c r="D120" s="24" t="s">
        <v>288</v>
      </c>
      <c r="E120" s="95">
        <f>+('DOE25'!L284)+('DOE25'!L303)+('DOE25'!L322)</f>
        <v>0</v>
      </c>
      <c r="F120" s="24" t="s">
        <v>288</v>
      </c>
      <c r="G120" s="24" t="s">
        <v>288</v>
      </c>
    </row>
    <row r="121" spans="1:7" x14ac:dyDescent="0.2">
      <c r="A121" t="s">
        <v>212</v>
      </c>
      <c r="B121" s="32" t="s">
        <v>213</v>
      </c>
      <c r="C121" s="95">
        <f>('DOE25'!L206)+('DOE25'!L224)+('DOE25'!L242)</f>
        <v>260060.88999999998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260693.09000000003</v>
      </c>
      <c r="D123" s="24" t="s">
        <v>288</v>
      </c>
      <c r="E123" s="95">
        <f>+('DOE25'!L287)+('DOE25'!L306)+('DOE25'!L325)</f>
        <v>50869.71</v>
      </c>
      <c r="F123" s="24" t="s">
        <v>288</v>
      </c>
      <c r="G123" s="24" t="s">
        <v>288</v>
      </c>
    </row>
    <row r="124" spans="1:7" x14ac:dyDescent="0.2">
      <c r="A124" t="s">
        <v>218</v>
      </c>
      <c r="B124" s="32" t="s">
        <v>219</v>
      </c>
      <c r="C124" s="95">
        <f>('DOE25'!L209)+('DOE25'!L227)+('DOE25'!L245+'DOE25'!L255)</f>
        <v>162792</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76064.179999999993</v>
      </c>
      <c r="E127" s="24" t="s">
        <v>288</v>
      </c>
      <c r="F127" s="24" t="s">
        <v>288</v>
      </c>
      <c r="G127" s="24" t="s">
        <v>288</v>
      </c>
    </row>
    <row r="128" spans="1:7" ht="12.75" thickTop="1" thickBot="1" x14ac:dyDescent="0.25">
      <c r="A128" s="33" t="s">
        <v>226</v>
      </c>
      <c r="C128" s="86">
        <f>SUM(C118:C127)</f>
        <v>1243905.01</v>
      </c>
      <c r="D128" s="86">
        <f>SUM(D118:D127)</f>
        <v>76064.179999999993</v>
      </c>
      <c r="E128" s="86">
        <f>SUM(E118:E127)</f>
        <v>66874.709999999992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43009.87</v>
      </c>
    </row>
    <row r="135" spans="1:7" x14ac:dyDescent="0.2">
      <c r="A135" t="s">
        <v>233</v>
      </c>
      <c r="B135" s="32" t="s">
        <v>234</v>
      </c>
      <c r="C135" s="95">
        <f>'DOE25'!L264</f>
        <v>27554.400000000001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81238.820000000007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-81238.820000000007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27554.399999999994</v>
      </c>
      <c r="D144" s="141">
        <f>SUM(D130:D143)</f>
        <v>0</v>
      </c>
      <c r="E144" s="141">
        <f>SUM(E130:E143)</f>
        <v>0</v>
      </c>
      <c r="F144" s="141">
        <f>SUM(F130:F143)</f>
        <v>0</v>
      </c>
      <c r="G144" s="141">
        <f>SUM(G130:G143)</f>
        <v>43009.87</v>
      </c>
    </row>
    <row r="145" spans="1:9" ht="12.75" thickTop="1" thickBot="1" x14ac:dyDescent="0.25">
      <c r="A145" s="33" t="s">
        <v>244</v>
      </c>
      <c r="C145" s="86">
        <f>(C115+C128+C144)</f>
        <v>3669660.19</v>
      </c>
      <c r="D145" s="86">
        <f>(D115+D128+D144)</f>
        <v>76064.179999999993</v>
      </c>
      <c r="E145" s="86">
        <f>(E115+E128+E144)</f>
        <v>117859.88999999998</v>
      </c>
      <c r="F145" s="86">
        <f>(F115+F128+F144)</f>
        <v>0</v>
      </c>
      <c r="G145" s="86">
        <f>(G115+G128+G144)</f>
        <v>43009.87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Cornish School District</v>
      </c>
    </row>
    <row r="3" spans="1:4" x14ac:dyDescent="0.2">
      <c r="B3" s="188" t="s">
        <v>1666</v>
      </c>
    </row>
    <row r="4" spans="1:4" x14ac:dyDescent="0.2">
      <c r="B4" t="s">
        <v>61</v>
      </c>
      <c r="C4" s="179">
        <f>IF('DOE25'!F666+'DOE25'!F671=0,0,ROUND('DOE25'!F673,0))</f>
        <v>26855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26855</v>
      </c>
    </row>
    <row r="9" spans="1:4" x14ac:dyDescent="0.2">
      <c r="A9" s="187" t="s">
        <v>94</v>
      </c>
      <c r="B9" s="188" t="s">
        <v>1671</v>
      </c>
      <c r="C9" s="181" t="s">
        <v>720</v>
      </c>
      <c r="D9" s="181" t="s">
        <v>721</v>
      </c>
    </row>
    <row r="10" spans="1:4" x14ac:dyDescent="0.2">
      <c r="A10">
        <v>1100</v>
      </c>
      <c r="B10" t="s">
        <v>702</v>
      </c>
      <c r="C10" s="179">
        <f>ROUND('DOE25'!L198+'DOE25'!L216+'DOE25'!L234+'DOE25'!L277+'DOE25'!L296+'DOE25'!L315,0)</f>
        <v>1979873</v>
      </c>
      <c r="D10" s="182">
        <f>ROUND((C10/$C$28)*100,1)</f>
        <v>51.9</v>
      </c>
    </row>
    <row r="11" spans="1:4" x14ac:dyDescent="0.2">
      <c r="A11">
        <v>1200</v>
      </c>
      <c r="B11" t="s">
        <v>703</v>
      </c>
      <c r="C11" s="179">
        <f>ROUND('DOE25'!L199+'DOE25'!L217+'DOE25'!L235+'DOE25'!L278+'DOE25'!L297+'DOE25'!L316,0)</f>
        <v>469313</v>
      </c>
      <c r="D11" s="182">
        <f>ROUND((C11/$C$28)*100,1)</f>
        <v>12.3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245644</v>
      </c>
      <c r="D15" s="182">
        <f t="shared" ref="D15:D27" si="0">ROUND((C15/$C$28)*100,1)</f>
        <v>6.4</v>
      </c>
    </row>
    <row r="16" spans="1:4" x14ac:dyDescent="0.2">
      <c r="A16">
        <v>2200</v>
      </c>
      <c r="B16" t="s">
        <v>707</v>
      </c>
      <c r="C16" s="179">
        <f>ROUND('DOE25'!L204+'DOE25'!L222+'DOE25'!L240+'DOE25'!L283+'DOE25'!L302+'DOE25'!L321,0)</f>
        <v>89452</v>
      </c>
      <c r="D16" s="182">
        <f t="shared" si="0"/>
        <v>2.2999999999999998</v>
      </c>
    </row>
    <row r="17" spans="1:4" x14ac:dyDescent="0.2">
      <c r="A17" s="183" t="s">
        <v>723</v>
      </c>
      <c r="B17" t="s">
        <v>738</v>
      </c>
      <c r="C17" s="179">
        <f>ROUND('DOE25'!L205+'DOE25'!L210+'DOE25'!L223+'DOE25'!L228+'DOE25'!L241+'DOE25'!L246+'DOE25'!L284+'DOE25'!L289+'DOE25'!L303+'DOE25'!L308+'DOE25'!L322+'DOE25'!L327,0)</f>
        <v>241268</v>
      </c>
      <c r="D17" s="182">
        <f t="shared" si="0"/>
        <v>6.3</v>
      </c>
    </row>
    <row r="18" spans="1:4" x14ac:dyDescent="0.2">
      <c r="A18">
        <v>2400</v>
      </c>
      <c r="B18" t="s">
        <v>711</v>
      </c>
      <c r="C18" s="179">
        <f>ROUND('DOE25'!L206+'DOE25'!L224+'DOE25'!L242+'DOE25'!L285+'DOE25'!L304+'DOE25'!L323,0)</f>
        <v>260061</v>
      </c>
      <c r="D18" s="182">
        <f t="shared" si="0"/>
        <v>6.8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311563</v>
      </c>
      <c r="D20" s="182">
        <f t="shared" si="0"/>
        <v>8.1999999999999993</v>
      </c>
    </row>
    <row r="21" spans="1:4" x14ac:dyDescent="0.2">
      <c r="A21">
        <v>2700</v>
      </c>
      <c r="B21" t="s">
        <v>710</v>
      </c>
      <c r="C21" s="179">
        <f>ROUND('DOE25'!L209+'DOE25'!L227+'DOE25'!L245+'DOE25'!L288+'DOE25'!L307+'DOE25'!L326,0)</f>
        <v>162792</v>
      </c>
      <c r="D21" s="182">
        <f t="shared" si="0"/>
        <v>4.3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52636.479999999996</v>
      </c>
      <c r="D27" s="182">
        <f t="shared" si="0"/>
        <v>1.4</v>
      </c>
    </row>
    <row r="28" spans="1:4" x14ac:dyDescent="0.2">
      <c r="B28" s="187" t="s">
        <v>719</v>
      </c>
      <c r="C28" s="180">
        <f>SUM(C10:C27)</f>
        <v>3812602.48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3812602.48</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2533568</v>
      </c>
      <c r="D35" s="182">
        <f t="shared" ref="D35:D40" si="1">ROUND((C35/$C$41)*100,1)</f>
        <v>66.5</v>
      </c>
    </row>
    <row r="36" spans="1:4" x14ac:dyDescent="0.2">
      <c r="B36" s="185" t="s">
        <v>739</v>
      </c>
      <c r="C36" s="179">
        <f>SUM('DOE25'!F112:J112)-SUM('DOE25'!G97:G110)+('DOE25'!F175+'DOE25'!F176+'DOE25'!I175+'DOE25'!I176)-C35</f>
        <v>106325.39000000013</v>
      </c>
      <c r="D36" s="182">
        <f t="shared" si="1"/>
        <v>2.8</v>
      </c>
    </row>
    <row r="37" spans="1:4" x14ac:dyDescent="0.2">
      <c r="A37" s="183" t="s">
        <v>835</v>
      </c>
      <c r="B37" s="185" t="s">
        <v>728</v>
      </c>
      <c r="C37" s="179">
        <f>ROUND('DOE25'!F117+'DOE25'!F118,0)</f>
        <v>1022067</v>
      </c>
      <c r="D37" s="182">
        <f t="shared" si="1"/>
        <v>26.8</v>
      </c>
    </row>
    <row r="38" spans="1:4" x14ac:dyDescent="0.2">
      <c r="A38" s="183" t="s">
        <v>734</v>
      </c>
      <c r="B38" s="185" t="s">
        <v>729</v>
      </c>
      <c r="C38" s="179">
        <f>ROUND(SUM('DOE25'!F140:J140)-SUM('DOE25'!F117:F119),0)</f>
        <v>522</v>
      </c>
      <c r="D38" s="182">
        <f t="shared" si="1"/>
        <v>0</v>
      </c>
    </row>
    <row r="39" spans="1:4" x14ac:dyDescent="0.2">
      <c r="A39">
        <v>4000</v>
      </c>
      <c r="B39" s="185" t="s">
        <v>730</v>
      </c>
      <c r="C39" s="179">
        <f>ROUND('DOE25'!F170+'DOE25'!G170+'DOE25'!H170+'DOE25'!I170,0)</f>
        <v>146874</v>
      </c>
      <c r="D39" s="182">
        <f t="shared" si="1"/>
        <v>3.9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3809356.39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Cornish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2021-05-05T12:20:34Z</cp:lastPrinted>
  <dcterms:created xsi:type="dcterms:W3CDTF">1997-12-04T19:04:30Z</dcterms:created>
  <dcterms:modified xsi:type="dcterms:W3CDTF">2021-10-08T20:51:28Z</dcterms:modified>
</cp:coreProperties>
</file>