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57480" yWindow="-204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17" l="1"/>
  <c r="H466" i="1" l="1"/>
  <c r="H469" i="1"/>
  <c r="H13" i="1"/>
  <c r="H12" i="1"/>
  <c r="F466" i="1" l="1"/>
  <c r="F469" i="1"/>
  <c r="I524" i="1"/>
  <c r="J524" i="1"/>
  <c r="K524" i="1"/>
  <c r="G524" i="1"/>
  <c r="H524" i="1"/>
  <c r="F524" i="1"/>
  <c r="G523" i="1"/>
  <c r="H523" i="1"/>
  <c r="I523" i="1"/>
  <c r="J523" i="1"/>
  <c r="K523" i="1"/>
  <c r="F523" i="1"/>
  <c r="G522" i="1"/>
  <c r="H522" i="1"/>
  <c r="I522" i="1"/>
  <c r="J522" i="1"/>
  <c r="K522" i="1"/>
  <c r="F522" i="1"/>
  <c r="H14" i="1" l="1"/>
  <c r="H48" i="1"/>
  <c r="H605" i="1"/>
  <c r="I605" i="1"/>
  <c r="J605" i="1"/>
  <c r="H473" i="1"/>
  <c r="H334" i="1"/>
  <c r="J306" i="1"/>
  <c r="I306" i="1"/>
  <c r="H306" i="1"/>
  <c r="I301" i="1"/>
  <c r="I287" i="1"/>
  <c r="H287" i="1"/>
  <c r="I282" i="1"/>
  <c r="I278" i="1"/>
  <c r="I277" i="1"/>
  <c r="H157" i="1"/>
  <c r="H155" i="1"/>
  <c r="H24" i="1"/>
  <c r="F110" i="1" l="1"/>
  <c r="F30" i="1" l="1"/>
  <c r="G132"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E120" i="2" s="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F535" i="1" s="1"/>
  <c r="G530" i="1"/>
  <c r="H530" i="1"/>
  <c r="I530" i="1"/>
  <c r="J530" i="1"/>
  <c r="K530"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C12" i="10" l="1"/>
  <c r="E124" i="2"/>
  <c r="C13" i="10"/>
  <c r="G663" i="1"/>
  <c r="K339" i="1"/>
  <c r="K353" i="1" s="1"/>
  <c r="G477" i="1"/>
  <c r="B33" i="16" s="1"/>
  <c r="C119" i="2"/>
  <c r="C125" i="2"/>
  <c r="C120" i="2"/>
  <c r="H663" i="1"/>
  <c r="C121" i="2"/>
  <c r="C112" i="2"/>
  <c r="C110" i="2"/>
  <c r="D15" i="13"/>
  <c r="C15" i="13" s="1"/>
  <c r="D6" i="13"/>
  <c r="C6" i="13" s="1"/>
  <c r="A40" i="12"/>
  <c r="J652" i="1"/>
  <c r="J258" i="1"/>
  <c r="J272" i="1" s="1"/>
  <c r="E123" i="2"/>
  <c r="E119" i="2"/>
  <c r="E110" i="2"/>
  <c r="E13" i="13"/>
  <c r="C13" i="13" s="1"/>
  <c r="H409" i="1"/>
  <c r="H645" i="1" s="1"/>
  <c r="J645" i="1" s="1"/>
  <c r="G339" i="1"/>
  <c r="G353" i="1" s="1"/>
  <c r="G662"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G24" i="14"/>
  <c r="H24" i="14" s="1"/>
  <c r="I24" i="14" s="1"/>
  <c r="I663" i="1"/>
  <c r="E51" i="2"/>
  <c r="D51" i="2"/>
  <c r="H194" i="1"/>
  <c r="G630" i="1" s="1"/>
  <c r="J630" i="1" s="1"/>
  <c r="E128" i="2"/>
  <c r="H649" i="1"/>
  <c r="J649" i="1" s="1"/>
  <c r="F661" i="1"/>
  <c r="F665" i="1" s="1"/>
  <c r="F668" i="1" s="1"/>
  <c r="E115" i="2"/>
  <c r="F194" i="1"/>
  <c r="G628" i="1" s="1"/>
  <c r="J628" i="1" s="1"/>
  <c r="C141" i="2"/>
  <c r="C144" i="2" s="1"/>
  <c r="H661" i="1"/>
  <c r="H665" i="1"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68" i="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<sst xmlns="http://schemas.openxmlformats.org/spreadsheetml/2006/main" count="5580" uniqueCount="1673">
  <si>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</si>
  <si>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</si>
  <si>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</si>
  <si>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</si>
  <si>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</si>
  <si>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</si>
  <si>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</si>
  <si>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</si>
  <si>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</si>
  <si>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</si>
  <si>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</si>
  <si>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</si>
  <si>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</si>
  <si>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</si>
  <si>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</si>
  <si>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</si>
  <si>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</si>
  <si>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</si>
  <si>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</si>
  <si>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</si>
  <si>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</si>
  <si>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</si>
  <si>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</si>
  <si>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</si>
  <si>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</si>
  <si>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</si>
  <si>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</si>
  <si>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</si>
  <si>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</si>
  <si>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</si>
  <si>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</si>
  <si>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</si>
  <si>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</si>
  <si>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</si>
  <si>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</si>
  <si>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</si>
  <si>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</si>
  <si>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</si>
  <si>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</si>
  <si>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</si>
  <si>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</si>
  <si>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</si>
  <si>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</si>
  <si>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</si>
  <si>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</si>
  <si>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</si>
  <si>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</si>
  <si>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</si>
  <si>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</si>
  <si>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</si>
  <si>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</si>
  <si>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</si>
  <si>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</si>
  <si>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</si>
  <si>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</si>
  <si>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</si>
  <si>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</si>
  <si>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</si>
  <si>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</si>
  <si>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</si>
  <si>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</si>
  <si>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</si>
  <si>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</si>
  <si>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</si>
  <si>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</si>
  <si>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</si>
  <si>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</si>
  <si>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</si>
  <si>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</si>
  <si>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</si>
  <si>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</si>
  <si>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</si>
  <si>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</si>
  <si>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</si>
  <si>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</si>
  <si>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</si>
  <si>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</si>
  <si>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</si>
  <si>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</si>
  <si>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</si>
  <si>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</si>
  <si>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</si>
  <si>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</si>
  <si>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</si>
  <si>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</si>
  <si>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</si>
  <si>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</si>
  <si>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</si>
  <si>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</si>
  <si>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</si>
  <si>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</si>
  <si>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</si>
  <si>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</si>
  <si>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</si>
  <si>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</si>
  <si>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</si>
  <si>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</si>
  <si>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</si>
  <si>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</si>
  <si>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</si>
  <si>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</si>
  <si>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</si>
  <si>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</si>
  <si>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</si>
  <si>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</si>
  <si>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</si>
  <si>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</si>
  <si>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</si>
  <si>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</si>
  <si>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</si>
  <si>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</si>
  <si>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</si>
  <si>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</si>
  <si>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</si>
  <si>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</si>
  <si>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</si>
  <si>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</si>
  <si>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</si>
  <si>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</si>
  <si>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</si>
  <si>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</si>
  <si>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</si>
  <si>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</si>
  <si>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</si>
  <si>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</si>
  <si>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</si>
  <si>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</si>
  <si>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</si>
  <si>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</si>
  <si>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</si>
  <si>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</si>
  <si>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</si>
  <si>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</si>
  <si>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</si>
  <si>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</si>
  <si>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</si>
  <si>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</si>
  <si>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</si>
  <si>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</si>
  <si>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</si>
  <si>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</si>
  <si>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</si>
  <si>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</si>
  <si>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</si>
  <si>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</si>
  <si>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</si>
  <si>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</si>
  <si>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</si>
  <si>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</si>
  <si>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</si>
  <si>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</si>
  <si>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</si>
  <si>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</si>
  <si>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</si>
  <si>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</si>
  <si>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</si>
  <si>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</si>
  <si>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</si>
  <si>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</si>
  <si>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</si>
  <si>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</si>
  <si>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</si>
  <si>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</si>
  <si>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</si>
  <si>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</si>
  <si>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</si>
  <si>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</si>
  <si>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</si>
  <si>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</si>
  <si>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</si>
  <si>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</si>
  <si>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</si>
  <si>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</si>
  <si>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</si>
  <si>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</si>
  <si>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</si>
  <si>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</si>
  <si>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</si>
  <si>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</si>
  <si>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</si>
  <si>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</si>
  <si>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</si>
  <si>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</si>
  <si>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</si>
  <si>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</si>
  <si>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</si>
  <si>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</si>
  <si>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</si>
  <si>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</si>
  <si>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</si>
  <si>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</si>
  <si>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</si>
  <si>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</si>
  <si>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</si>
  <si>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</si>
  <si>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</si>
  <si>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</si>
  <si>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</si>
  <si>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</si>
  <si>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</si>
  <si>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</si>
  <si>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</si>
  <si>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</si>
  <si>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</si>
  <si>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</si>
  <si>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</si>
  <si>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</si>
  <si>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</si>
  <si>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</si>
  <si>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</si>
  <si>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</si>
  <si>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</si>
  <si>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</si>
  <si>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</si>
  <si>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</si>
  <si>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</si>
  <si>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</si>
  <si>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</si>
  <si>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</si>
  <si>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</si>
  <si>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</si>
  <si>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</si>
  <si>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</si>
  <si>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</si>
  <si>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</si>
  <si>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</si>
  <si>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</si>
  <si>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</si>
  <si>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</si>
  <si>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</si>
  <si>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</si>
  <si>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</si>
  <si>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</si>
  <si>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</si>
  <si>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</si>
  <si>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</si>
  <si>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</si>
  <si>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</si>
  <si>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</si>
  <si>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</si>
  <si>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</si>
  <si>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</si>
  <si>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</si>
  <si>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</si>
  <si>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</si>
  <si>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</si>
  <si>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</si>
  <si>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</si>
  <si>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</si>
  <si>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</si>
  <si>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</si>
  <si>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</si>
  <si>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</si>
  <si>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</si>
  <si>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</si>
  <si>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</si>
  <si>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</si>
  <si>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</si>
  <si>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</si>
  <si>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</si>
  <si>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</si>
  <si>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</si>
  <si>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</si>
  <si>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</si>
  <si>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</si>
  <si>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</si>
  <si>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</si>
  <si>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</si>
  <si>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</si>
  <si>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</si>
  <si>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</si>
  <si>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</si>
  <si>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</si>
  <si>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</si>
  <si>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</si>
  <si>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</si>
  <si>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</si>
  <si>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</si>
  <si>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</si>
  <si>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</si>
  <si>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</si>
  <si>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</si>
  <si>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</si>
  <si>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</si>
  <si>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</si>
  <si>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</si>
  <si>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</si>
  <si>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</si>
  <si>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</si>
  <si>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</si>
  <si>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</si>
  <si>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</si>
  <si>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</si>
  <si>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</si>
  <si>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</si>
  <si>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</si>
  <si>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</si>
  <si>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</si>
  <si>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</si>
  <si>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</si>
  <si>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</si>
  <si>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</si>
  <si>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</si>
  <si>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</si>
  <si>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</si>
  <si>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</si>
  <si>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</si>
  <si>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</si>
  <si>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</si>
  <si>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</si>
  <si>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</si>
  <si>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</si>
  <si>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</si>
  <si>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</si>
  <si>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</si>
  <si>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</si>
  <si>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</si>
  <si>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</si>
  <si>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</si>
  <si>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</si>
  <si>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</si>
  <si>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</si>
  <si>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</si>
  <si>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</si>
  <si>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</si>
  <si>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</si>
  <si>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</si>
  <si>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</si>
  <si>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</si>
  <si>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</si>
  <si>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</si>
  <si>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</si>
  <si>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</si>
  <si>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</si>
  <si>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</si>
  <si>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</si>
  <si>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</si>
  <si>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</si>
  <si>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</si>
  <si>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</si>
  <si>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</si>
  <si>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</si>
  <si>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</si>
  <si>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</si>
  <si>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</si>
  <si>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</si>
  <si>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</si>
  <si>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</si>
  <si>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</si>
  <si>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</si>
  <si>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</si>
  <si>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</si>
  <si>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</si>
  <si>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</si>
  <si>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</si>
  <si>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</si>
  <si>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</si>
  <si>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</si>
  <si>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</si>
  <si>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</si>
  <si>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</si>
  <si>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</si>
  <si>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</si>
  <si>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</si>
  <si>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</si>
  <si>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</si>
  <si>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</si>
  <si>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</si>
  <si>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</si>
  <si>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</si>
  <si>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</si>
  <si>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</si>
  <si>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</si>
  <si>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</si>
  <si>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</si>
  <si>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</si>
  <si>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</si>
  <si>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</si>
  <si>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</si>
  <si>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</si>
  <si>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</si>
  <si>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</si>
  <si>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</si>
  <si>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</si>
  <si>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</si>
  <si>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</si>
  <si>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</si>
  <si>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</si>
  <si>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</si>
  <si>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</si>
  <si>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</si>
  <si>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</si>
  <si>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</si>
  <si>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</si>
  <si>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</si>
  <si>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</si>
  <si>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</si>
  <si>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</si>
  <si>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</si>
  <si>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</si>
  <si>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</si>
  <si>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</si>
  <si>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</si>
  <si>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</si>
  <si>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</si>
  <si>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</si>
  <si>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</si>
  <si>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</si>
  <si>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</si>
  <si>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</si>
  <si>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</si>
  <si>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</si>
  <si>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</si>
  <si>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</si>
  <si>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</si>
  <si>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</si>
  <si>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</si>
  <si>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</si>
  <si>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</si>
  <si>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</si>
  <si>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</si>
  <si>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</si>
  <si>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</si>
  <si>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</si>
  <si>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</si>
  <si>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</si>
  <si>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</si>
  <si>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</si>
  <si>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</si>
  <si>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</si>
  <si>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</si>
  <si>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</si>
  <si>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</si>
  <si>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</si>
  <si>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</si>
  <si>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</si>
  <si>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</si>
  <si>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</si>
  <si>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</si>
  <si>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</si>
  <si>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</si>
  <si>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</si>
  <si>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</si>
  <si>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</si>
  <si>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</si>
  <si>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</si>
  <si>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</si>
  <si>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</si>
  <si>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</si>
  <si>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</si>
  <si>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</si>
  <si>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</si>
  <si>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</si>
  <si>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</si>
  <si>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</si>
  <si>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</si>
  <si>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</si>
  <si>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</si>
  <si>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</si>
  <si>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</si>
  <si>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</si>
  <si>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</si>
  <si>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</si>
  <si>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</si>
  <si>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</si>
  <si>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</si>
  <si>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</si>
  <si>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</si>
  <si>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</si>
  <si>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</si>
  <si>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</si>
  <si>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</si>
  <si>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</si>
  <si>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</si>
  <si>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</si>
  <si>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</si>
  <si>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</si>
  <si>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</si>
  <si>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</si>
  <si>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</si>
  <si>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</si>
  <si>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</si>
  <si>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</si>
  <si>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</si>
  <si>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</si>
  <si>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</si>
  <si>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</si>
  <si>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</si>
  <si>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</si>
  <si>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</si>
  <si>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</si>
  <si>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</si>
  <si>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</si>
  <si>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</si>
  <si>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</si>
  <si>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</si>
  <si>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</si>
  <si>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</si>
  <si>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</si>
  <si>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</si>
  <si>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</si>
  <si>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</si>
  <si>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</si>
  <si>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</si>
  <si>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</si>
  <si>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</si>
  <si>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</si>
  <si>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</si>
  <si>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</si>
  <si>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</si>
  <si>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</si>
  <si>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</si>
  <si>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</si>
  <si>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</si>
  <si>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</si>
  <si>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</si>
  <si>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</si>
  <si>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</si>
  <si>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</si>
  <si>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</si>
  <si>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</si>
  <si>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</si>
  <si>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</si>
  <si>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</si>
  <si>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</si>
  <si>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</si>
  <si>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</si>
  <si>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</si>
  <si>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</si>
  <si>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</si>
  <si>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</si>
  <si>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</si>
  <si>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</si>
  <si>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</si>
  <si>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</si>
  <si>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</si>
  <si>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</si>
  <si>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</si>
  <si>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</si>
  <si>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</si>
  <si>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</si>
  <si>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</si>
  <si>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</si>
  <si>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</si>
  <si>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</si>
  <si>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</si>
  <si>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</si>
  <si>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</si>
  <si>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</si>
  <si>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</si>
  <si>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</si>
  <si>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</si>
  <si>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</si>
  <si>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</si>
  <si>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</si>
  <si>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</si>
  <si>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</si>
  <si>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</si>
  <si>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</si>
  <si>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</si>
  <si>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</si>
  <si>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</si>
  <si>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</si>
  <si>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</si>
  <si>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</si>
  <si>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</si>
  <si>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</si>
  <si>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</si>
  <si>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</si>
  <si>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</si>
  <si>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</si>
  <si>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</si>
  <si>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</si>
  <si>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</si>
  <si>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</si>
  <si>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</si>
  <si>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</si>
  <si>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</si>
  <si>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</si>
  <si>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</si>
  <si>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</si>
  <si>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</si>
  <si>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</si>
  <si>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</si>
  <si>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</si>
  <si>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</si>
  <si>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</si>
  <si>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</si>
  <si>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</si>
  <si>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</si>
  <si>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</si>
  <si>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</si>
  <si>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</si>
  <si>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</si>
  <si>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</si>
  <si>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</si>
  <si>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</si>
  <si>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</si>
  <si>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</si>
  <si>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</si>
  <si>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</si>
  <si>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</si>
  <si>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</si>
  <si>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</si>
  <si>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</si>
  <si>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</si>
  <si>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</si>
  <si>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</si>
  <si>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</si>
  <si>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</si>
  <si>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</si>
  <si>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</si>
  <si>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</si>
  <si>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</si>
  <si>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</si>
  <si>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</si>
  <si>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</si>
  <si>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</si>
  <si>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</si>
  <si>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</si>
  <si>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</si>
  <si>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</si>
  <si>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</si>
  <si>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</si>
  <si>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</si>
  <si>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</si>
  <si>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</si>
  <si>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</si>
  <si>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</si>
  <si>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</si>
  <si>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</si>
  <si>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</si>
  <si>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</si>
  <si>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</si>
  <si>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</si>
  <si>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</si>
  <si>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</si>
  <si>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</si>
  <si>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</si>
  <si>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</si>
  <si>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</si>
  <si>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</si>
  <si>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</si>
  <si>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</si>
  <si>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</si>
  <si>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</si>
  <si>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</si>
  <si>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</si>
  <si>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</si>
  <si>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</si>
  <si>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</si>
  <si>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</si>
  <si>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</si>
  <si>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</si>
  <si>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</si>
  <si>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</si>
  <si>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</si>
  <si>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</si>
  <si>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</si>
  <si>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</si>
  <si>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</si>
  <si>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</si>
  <si>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</si>
  <si>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</si>
  <si>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</si>
  <si>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</si>
  <si>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</si>
  <si>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</si>
  <si>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</si>
  <si>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</si>
  <si>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</si>
  <si>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</si>
  <si>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</si>
  <si>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</si>
  <si>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</si>
  <si>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</si>
  <si>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</si>
  <si>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</si>
  <si>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</si>
  <si>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</si>
  <si>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</si>
  <si>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</si>
  <si>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</si>
  <si>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</si>
  <si>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</si>
  <si>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</si>
  <si>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</si>
  <si>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</si>
  <si>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</si>
  <si>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</si>
  <si>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</si>
  <si>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</si>
  <si>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</si>
  <si>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</si>
  <si>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</si>
  <si>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</si>
  <si>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</si>
  <si>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</si>
  <si>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</si>
  <si>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</si>
  <si>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</si>
  <si>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</si>
  <si>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</si>
  <si>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</si>
  <si>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</si>
  <si>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</si>
  <si>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</si>
  <si>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</si>
  <si>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</si>
  <si>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</si>
  <si>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</si>
  <si>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</si>
  <si>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</si>
  <si>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</si>
  <si>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</si>
  <si>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</si>
  <si>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</si>
  <si>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</si>
  <si>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</si>
  <si>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</si>
  <si>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</si>
  <si>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</si>
  <si>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</si>
  <si>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</si>
  <si>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</si>
  <si>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</si>
  <si>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</si>
  <si>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</si>
  <si>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</si>
  <si>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</si>
  <si>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</si>
  <si>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</si>
  <si>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</si>
  <si>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</si>
  <si>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</si>
  <si>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</si>
  <si>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</si>
  <si>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</si>
  <si>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</si>
  <si>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</si>
  <si>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</si>
  <si>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</si>
  <si>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</si>
  <si>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</si>
  <si>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</si>
  <si>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</si>
  <si>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</si>
  <si>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</si>
  <si>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</si>
  <si>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</si>
  <si>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</si>
  <si>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</si>
  <si>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</si>
  <si>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</si>
  <si>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</si>
  <si>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</si>
  <si>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</si>
  <si>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</si>
  <si>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</si>
  <si>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</si>
  <si>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</si>
  <si>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</si>
  <si>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</si>
  <si>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</si>
  <si>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</si>
  <si>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</si>
  <si>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</si>
  <si>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</si>
  <si>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</si>
  <si>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</si>
  <si>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</si>
  <si>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</si>
  <si>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</si>
  <si>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</si>
  <si>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</si>
  <si>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</si>
  <si>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</si>
  <si>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</si>
  <si>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</si>
  <si>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</si>
  <si>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</si>
  <si>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</si>
  <si>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</si>
  <si>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</si>
  <si>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</si>
  <si>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</si>
  <si>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</si>
  <si>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</si>
  <si>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</si>
  <si>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</si>
  <si>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</si>
  <si>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</si>
  <si>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</si>
  <si>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</si>
  <si>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</si>
  <si>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</si>
  <si>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</si>
  <si>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</si>
  <si>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</si>
  <si>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</si>
  <si>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</si>
  <si>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</si>
  <si>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</si>
  <si>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</si>
  <si>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</si>
  <si>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</si>
  <si>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</si>
  <si>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</si>
  <si>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</si>
  <si>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</si>
  <si>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</si>
  <si>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</si>
  <si>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</si>
  <si>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</si>
  <si>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</si>
  <si>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</si>
  <si>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</si>
  <si>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</si>
  <si>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</si>
  <si>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</si>
  <si>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</si>
  <si>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</si>
  <si>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</si>
  <si>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</si>
  <si>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</si>
  <si>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</si>
  <si>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</si>
  <si>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</si>
  <si>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</si>
  <si>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</si>
  <si>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</si>
  <si>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</si>
  <si>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</si>
  <si>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</si>
  <si>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</si>
  <si>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</si>
  <si>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</si>
  <si>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</si>
  <si>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</si>
  <si>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</si>
  <si>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</si>
  <si>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</si>
  <si>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</si>
  <si>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</si>
  <si>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</si>
  <si>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</si>
  <si>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</si>
  <si>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</si>
  <si>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</si>
  <si>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</si>
  <si>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</si>
  <si>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</si>
  <si>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</si>
  <si>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</si>
  <si>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</si>
  <si>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</si>
  <si>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</si>
  <si>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</si>
  <si>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</si>
  <si>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</si>
  <si>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</si>
  <si>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</si>
  <si>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</si>
  <si>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</si>
  <si>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</si>
  <si>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</si>
  <si>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</si>
  <si>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</si>
  <si>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</si>
  <si>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</si>
  <si>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</si>
  <si>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</si>
  <si>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</si>
  <si>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</si>
  <si>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</si>
  <si>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</si>
  <si>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</si>
  <si>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</si>
  <si>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</si>
  <si>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</si>
  <si>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</si>
  <si>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</si>
  <si>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</si>
  <si>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</si>
  <si>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</si>
  <si>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</si>
  <si>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</si>
  <si>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</si>
  <si>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</si>
  <si>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</si>
  <si>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</si>
  <si>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</si>
  <si>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</si>
  <si>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</si>
  <si>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</si>
  <si>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</si>
  <si>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</si>
  <si>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</si>
  <si>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</si>
  <si>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</si>
  <si>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</si>
  <si>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</si>
  <si>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</si>
  <si>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</si>
  <si>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</si>
  <si>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</si>
  <si>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</si>
  <si>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</si>
  <si>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</si>
  <si>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</si>
  <si>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</si>
  <si>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</si>
  <si>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</si>
  <si>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</si>
  <si>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</si>
  <si>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</si>
  <si>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</si>
  <si>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</si>
  <si>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</si>
  <si>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</si>
  <si>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</si>
  <si>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</si>
  <si>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</si>
  <si>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</si>
  <si>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</si>
  <si>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</si>
  <si>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</si>
  <si>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</si>
  <si>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</si>
  <si>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</si>
  <si>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</si>
  <si>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</si>
  <si>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</si>
  <si>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</si>
  <si>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</si>
  <si>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</si>
  <si>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</si>
  <si>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</si>
  <si>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</si>
  <si>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</si>
  <si>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</si>
  <si>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</si>
  <si>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</si>
  <si>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</si>
  <si>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</si>
  <si>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</si>
  <si>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</si>
  <si>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</si>
  <si>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</si>
  <si>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</si>
  <si>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</si>
  <si>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</si>
  <si>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</si>
  <si>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</si>
  <si>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</si>
  <si>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</si>
  <si>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</si>
  <si>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</si>
  <si>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</si>
  <si>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</si>
  <si>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</si>
  <si>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</si>
  <si>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</si>
  <si>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</si>
  <si>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</si>
  <si>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</si>
  <si>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</si>
  <si>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</si>
  <si>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</si>
  <si>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</si>
  <si>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</si>
  <si>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</si>
  <si>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</si>
  <si>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</si>
  <si>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</si>
  <si>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</si>
  <si>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</si>
  <si>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</si>
  <si>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</si>
  <si>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</si>
  <si>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</si>
  <si>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</si>
  <si>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</si>
  <si>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</si>
  <si>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</si>
  <si>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</si>
  <si>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</si>
  <si>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</si>
  <si>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</si>
  <si>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</si>
  <si>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</si>
  <si>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</si>
  <si>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</si>
  <si>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</si>
  <si>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</si>
  <si>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</si>
  <si>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</si>
  <si>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</si>
  <si>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</si>
  <si>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</si>
  <si>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</si>
  <si>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</si>
  <si>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</si>
  <si>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</si>
  <si>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</si>
  <si>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</si>
  <si>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</si>
  <si>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</si>
  <si>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</si>
  <si>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</si>
  <si>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</si>
  <si>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</si>
  <si>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</si>
  <si>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</si>
  <si>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</si>
  <si>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</si>
  <si>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</si>
  <si>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</si>
  <si>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</si>
  <si>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</si>
  <si>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</si>
  <si>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</si>
  <si>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</si>
  <si>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</si>
  <si>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</si>
  <si>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</si>
  <si>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</si>
  <si>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</si>
  <si>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</si>
  <si>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</si>
  <si>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</si>
  <si>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</si>
  <si>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</si>
  <si>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</si>
  <si>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</si>
  <si>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</si>
  <si>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</si>
  <si>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</si>
  <si>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</si>
  <si>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</si>
  <si>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</si>
  <si>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</si>
  <si>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</si>
  <si>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</si>
  <si>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</si>
  <si>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</si>
  <si>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</si>
  <si>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</si>
  <si>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</si>
  <si>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</si>
  <si>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</si>
  <si>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</si>
  <si>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</si>
  <si>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</si>
  <si>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</si>
  <si>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</si>
  <si>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</si>
  <si>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</si>
  <si>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</si>
  <si>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</si>
  <si>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</si>
  <si>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</si>
  <si>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</si>
  <si>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</si>
  <si>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</si>
  <si>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</si>
  <si>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</si>
  <si>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</si>
  <si>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</si>
  <si>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</si>
  <si>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</si>
  <si>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</si>
  <si>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</si>
  <si>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</si>
  <si>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</si>
  <si>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</si>
  <si>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</si>
  <si>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</si>
  <si>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</si>
  <si>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</si>
  <si>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</si>
  <si>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</si>
  <si>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</si>
  <si>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</si>
  <si>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</si>
  <si>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</si>
  <si>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</si>
  <si>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</si>
  <si>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</si>
  <si>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</si>
  <si>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</si>
  <si>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</si>
  <si>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</si>
  <si>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</si>
  <si>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</si>
  <si>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</si>
  <si>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</si>
  <si>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</si>
  <si>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</si>
  <si>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</si>
  <si>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</si>
  <si>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</si>
  <si>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</si>
  <si>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</si>
  <si>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</si>
  <si>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</si>
  <si>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</si>
  <si>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</si>
  <si>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</si>
  <si>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</si>
  <si>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</si>
  <si>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</si>
  <si>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</si>
  <si>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</si>
  <si>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</si>
  <si>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</si>
  <si>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</si>
  <si>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</si>
  <si>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</si>
  <si>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</si>
  <si>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</si>
  <si>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</si>
  <si>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</si>
  <si>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</si>
  <si>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</si>
  <si>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</si>
  <si>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</si>
  <si>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</si>
  <si>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</si>
  <si>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</si>
  <si>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</si>
  <si>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</si>
  <si>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</si>
  <si>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</si>
  <si>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</si>
  <si>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</si>
  <si>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</si>
  <si>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</si>
  <si>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</si>
  <si>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</si>
  <si>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</si>
  <si>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</si>
  <si>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</si>
  <si>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</si>
  <si>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</si>
  <si>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</si>
  <si>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</si>
  <si>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</si>
  <si>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</si>
  <si>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</si>
  <si>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</si>
  <si>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</si>
  <si>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</si>
  <si>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</si>
  <si>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</si>
  <si>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</si>
  <si>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</si>
  <si>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</si>
  <si>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</si>
  <si>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</si>
  <si>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</si>
  <si>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</si>
  <si>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</si>
  <si>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</si>
  <si>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</si>
  <si>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</si>
  <si>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</si>
  <si>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</si>
  <si>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</si>
  <si>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</si>
  <si>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</si>
  <si>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</si>
  <si>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</si>
  <si>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</si>
  <si>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</si>
  <si>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</si>
  <si>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</si>
  <si>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</si>
  <si>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</si>
  <si>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</si>
  <si>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</si>
  <si>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</si>
  <si>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</si>
  <si>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</si>
  <si>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</si>
  <si>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</si>
  <si>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</si>
  <si>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</si>
  <si>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</si>
  <si>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</si>
  <si>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</si>
  <si>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</si>
  <si>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</si>
  <si>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</si>
  <si>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</si>
  <si>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</si>
  <si>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</si>
  <si>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</si>
  <si>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</si>
  <si>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</si>
  <si>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</si>
  <si>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</si>
  <si>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</si>
  <si>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</si>
  <si>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</si>
  <si>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</si>
  <si>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</si>
  <si>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</si>
  <si>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</si>
  <si>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</si>
  <si>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</si>
  <si>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</si>
  <si>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</si>
  <si>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</si>
  <si>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</si>
  <si>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</si>
  <si>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</si>
  <si>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</si>
  <si>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</si>
  <si>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</si>
  <si>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</si>
  <si>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</si>
  <si>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</si>
  <si>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</si>
  <si>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</si>
  <si>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</si>
  <si>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</si>
  <si>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</si>
  <si>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</si>
  <si>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</si>
  <si>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</si>
  <si>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</si>
  <si>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</si>
  <si>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</si>
  <si>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</si>
  <si>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</si>
  <si>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</si>
  <si>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</si>
  <si>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</si>
  <si>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</si>
  <si>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</si>
  <si>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</si>
  <si>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</si>
  <si>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</si>
  <si>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</si>
  <si>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</si>
  <si>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</si>
  <si>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</si>
  <si>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</si>
  <si>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</si>
  <si>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</si>
  <si>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</si>
  <si>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</si>
  <si>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</si>
  <si>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</si>
  <si>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</si>
  <si>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</si>
  <si>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</si>
  <si>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</si>
  <si>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</si>
  <si>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</si>
  <si>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</si>
  <si>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</si>
  <si>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</si>
  <si>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</si>
  <si>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</si>
  <si>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</si>
  <si>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</si>
  <si>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</si>
  <si>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</si>
  <si>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</si>
  <si>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</si>
  <si>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</si>
  <si>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</si>
  <si>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</si>
  <si>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</si>
  <si>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</si>
  <si>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</si>
  <si>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</si>
  <si>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</si>
  <si>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</si>
  <si>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</si>
  <si>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</si>
  <si>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</si>
  <si>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</si>
  <si>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</si>
  <si>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</si>
  <si>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</si>
  <si>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</si>
  <si>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</si>
  <si>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</si>
  <si>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</si>
  <si>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</si>
  <si>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</si>
  <si>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</si>
  <si>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</si>
  <si>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</si>
  <si>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</si>
  <si>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</si>
  <si>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</si>
  <si>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</si>
  <si>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</si>
  <si>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</si>
  <si>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</si>
  <si>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</si>
  <si>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</si>
  <si>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</si>
  <si>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</si>
  <si>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</si>
  <si>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</si>
  <si>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</si>
  <si>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</si>
  <si>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</si>
  <si>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</si>
  <si>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</si>
  <si>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</si>
  <si>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</si>
  <si>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</si>
  <si>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</si>
  <si>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</si>
  <si>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</si>
  <si>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</si>
  <si>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</si>
  <si>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</si>
  <si>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</si>
  <si>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</si>
  <si>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</si>
  <si>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</si>
  <si>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</si>
  <si>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</si>
  <si>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</si>
  <si>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</si>
  <si>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</si>
  <si>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</si>
  <si>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</si>
  <si>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</si>
  <si>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</si>
  <si>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</si>
  <si>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</si>
  <si>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</si>
  <si>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</si>
  <si>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</si>
  <si>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</si>
  <si>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</si>
  <si>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</si>
  <si>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</si>
  <si>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</si>
  <si>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</si>
  <si>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</si>
  <si>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</si>
  <si>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</si>
  <si>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</si>
  <si>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</si>
  <si>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</si>
  <si>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</si>
  <si>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</si>
  <si>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</si>
  <si>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</si>
  <si>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</si>
  <si>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</si>
  <si>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</si>
  <si>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</si>
  <si>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</si>
  <si>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</si>
  <si>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</si>
  <si>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</si>
  <si>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</si>
  <si>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</si>
  <si>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</si>
  <si>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</si>
  <si>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</si>
  <si>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</si>
  <si>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</si>
  <si>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</si>
  <si>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</si>
  <si>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</si>
  <si>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</si>
  <si>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</si>
  <si>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</si>
  <si>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</si>
  <si>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</si>
  <si>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</si>
  <si>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</si>
  <si>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</si>
  <si>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</si>
  <si>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</si>
  <si>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</si>
  <si>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</si>
  <si>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</si>
  <si>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</si>
  <si>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</si>
  <si>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</si>
  <si>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</si>
  <si>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</si>
  <si>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</si>
  <si>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</si>
  <si>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</si>
  <si>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</si>
  <si>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</si>
  <si>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</si>
  <si>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</si>
  <si>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</si>
  <si>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</si>
  <si>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</si>
  <si>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</si>
  <si>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</si>
  <si>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</si>
  <si>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</si>
  <si>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</si>
  <si>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</si>
  <si>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</si>
  <si>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</si>
  <si>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</si>
  <si>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</si>
  <si>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</si>
  <si>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</si>
  <si>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</si>
  <si>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</si>
  <si>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</si>
  <si>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</si>
  <si>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</si>
  <si>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</si>
  <si>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</si>
  <si>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</si>
  <si>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</si>
  <si>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</si>
  <si>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</si>
  <si>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</si>
  <si>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</si>
  <si>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</si>
  <si>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</si>
  <si>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</si>
  <si>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</si>
  <si>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</si>
  <si>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</si>
  <si>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</si>
  <si>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</si>
  <si>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</si>
  <si>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</si>
  <si>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</si>
  <si>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</si>
  <si>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</si>
  <si>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</si>
  <si>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</si>
  <si>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</si>
  <si>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</si>
  <si>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</si>
  <si>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</si>
  <si>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</si>
  <si>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</si>
  <si>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</si>
  <si>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</si>
  <si>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</si>
  <si>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</si>
  <si>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</si>
  <si>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</si>
  <si>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</si>
  <si>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</si>
  <si>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</si>
  <si>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</si>
  <si>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</si>
  <si>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</si>
  <si>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</si>
  <si>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</si>
  <si>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</si>
  <si>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</si>
  <si>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</si>
  <si>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</si>
  <si>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</si>
  <si>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</si>
  <si>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</si>
  <si>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</si>
  <si>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</si>
  <si>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</si>
  <si>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</si>
  <si>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</si>
  <si>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</si>
  <si>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</si>
  <si>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</si>
  <si>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</si>
  <si>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</si>
  <si>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</si>
  <si>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</si>
  <si>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</si>
  <si>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</si>
  <si>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</si>
  <si>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</si>
  <si>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</si>
  <si>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</si>
  <si>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</si>
  <si>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</si>
  <si>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</si>
  <si>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</si>
  <si>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</si>
  <si>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</si>
  <si>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</si>
  <si>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</si>
  <si>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</si>
  <si>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</si>
  <si>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</si>
  <si>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</si>
  <si>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</si>
  <si>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</si>
  <si>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</si>
  <si>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</si>
  <si>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</si>
  <si>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</si>
  <si>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</si>
  <si>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</si>
  <si>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</si>
  <si>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</si>
  <si>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</si>
  <si>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</si>
  <si>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</si>
  <si>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</si>
  <si>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</si>
  <si>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</si>
  <si>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</si>
  <si>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</si>
  <si>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</si>
  <si>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</si>
  <si>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</si>
  <si>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</si>
  <si>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</si>
  <si>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</si>
  <si>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</si>
  <si>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</si>
  <si>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</si>
  <si>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</si>
  <si>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</si>
  <si>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</si>
  <si>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</si>
  <si>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</si>
  <si>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</si>
  <si>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</si>
  <si>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</si>
  <si>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</si>
  <si>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</si>
  <si>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</si>
  <si>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</si>
  <si>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</si>
  <si>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</si>
  <si>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</si>
  <si>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</si>
  <si>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</si>
  <si>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</si>
  <si>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</si>
  <si>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</si>
  <si>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</si>
  <si>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</si>
  <si>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</si>
  <si>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</si>
  <si>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</si>
  <si>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</si>
  <si>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</si>
  <si>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</si>
  <si>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</si>
  <si>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</si>
  <si>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</si>
  <si>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</si>
  <si>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</si>
  <si>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</si>
  <si>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</si>
  <si>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</si>
  <si>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</si>
  <si>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</si>
  <si>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</si>
  <si>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</si>
  <si>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</si>
  <si>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</si>
  <si>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</si>
  <si>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</si>
  <si>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</si>
  <si>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</si>
  <si>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</si>
  <si>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</si>
  <si>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</si>
  <si>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</si>
  <si>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</si>
  <si>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</si>
  <si>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</si>
  <si>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</si>
  <si>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</si>
  <si>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</si>
  <si>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</si>
  <si>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</si>
  <si>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</si>
  <si>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</si>
  <si>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</si>
  <si>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</si>
  <si>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</si>
  <si>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</si>
  <si>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</si>
  <si>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</si>
  <si>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</si>
  <si>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</si>
  <si>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</si>
  <si>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</si>
  <si>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</si>
  <si>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</si>
  <si>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</si>
  <si>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</si>
  <si>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</si>
  <si>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</si>
  <si>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</si>
  <si>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</si>
  <si>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</si>
  <si>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</si>
  <si>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</si>
  <si>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</si>
  <si>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</si>
  <si>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</si>
  <si>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</si>
  <si>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</si>
  <si>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</si>
  <si>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</si>
  <si>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</si>
  <si>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</si>
  <si>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</si>
  <si>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</si>
  <si>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</si>
  <si>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</si>
  <si>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</si>
  <si>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</si>
  <si>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</si>
  <si>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</si>
  <si>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</si>
  <si>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</si>
  <si>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</si>
  <si>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</si>
  <si>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</si>
  <si>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</si>
  <si>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</si>
  <si>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</si>
  <si>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</si>
  <si>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</si>
  <si>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</si>
  <si>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</si>
  <si>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</si>
  <si>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</si>
  <si>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</si>
  <si>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</si>
  <si>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</si>
  <si>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</si>
  <si>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</si>
  <si>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</si>
  <si>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</si>
  <si>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</si>
  <si>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</si>
  <si>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</si>
  <si>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</si>
  <si>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</si>
  <si>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</si>
  <si>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</si>
  <si>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</si>
  <si>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</si>
  <si>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</si>
  <si>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</si>
  <si>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</si>
  <si>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</si>
  <si>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</si>
  <si>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</si>
  <si>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</si>
  <si>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</si>
  <si>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</si>
  <si>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</si>
  <si>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</si>
  <si>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</si>
  <si>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</si>
  <si>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</si>
  <si>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</si>
  <si>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</si>
  <si>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Derry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</si>
</sst>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51"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131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6518736.7300000004</v>
      </c>
      <c r="G9" s="18">
        <v>925</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2023910.89</v>
      </c>
      <c r="G12" s="18">
        <v>-201447.95</v>
      </c>
      <c r="H12" s="18">
        <f>-1885726.78+63264.2</f>
        <v>-1822462.58</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109203.39</v>
      </c>
      <c r="G13" s="18">
        <v>253330.07</v>
      </c>
      <c r="H13" s="18">
        <f>1942694.58+10677.67</f>
        <v>1953372.25</v>
      </c>
      <c r="I13" s="18"/>
      <c r="J13" s="67">
        <f>SUM(I443)</f>
        <v>196628.76</v>
      </c>
      <c r="K13" s="24" t="s">
        <v>288</v>
      </c>
      <c r="L13" s="24" t="s">
        <v>288</v>
      </c>
      <c r="M13" s="8"/>
      <c r="N13" s="264"/>
    </row>
    <row r="14" spans="1:14" s="3" customFormat="1" ht="12.2" customHeight="1" x14ac:dyDescent="0.15">
      <c r="A14" s="1" t="s">
        <v>565</v>
      </c>
      <c r="B14" s="2" t="s">
        <v>289</v>
      </c>
      <c r="C14" s="6">
        <v>6</v>
      </c>
      <c r="D14" s="2" t="s">
        <v>428</v>
      </c>
      <c r="E14" s="6">
        <v>150</v>
      </c>
      <c r="F14" s="18">
        <v>30907.67</v>
      </c>
      <c r="G14" s="18">
        <v>-23494.18</v>
      </c>
      <c r="H14" s="18">
        <f>24470.93-3551.97</f>
        <v>20918.96</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51598.2</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19986.59</v>
      </c>
      <c r="G18" s="18"/>
      <c r="H18" s="18">
        <v>25519.65</v>
      </c>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8702745.2700000014</v>
      </c>
      <c r="G19" s="41">
        <f>SUM(G9:G18)</f>
        <v>80911.139999999985</v>
      </c>
      <c r="H19" s="41">
        <f>SUM(H9:H18)</f>
        <v>177348.27999999991</v>
      </c>
      <c r="I19" s="41">
        <f>SUM(I9:I18)</f>
        <v>0</v>
      </c>
      <c r="J19" s="41">
        <f>SUM(J9:J18)</f>
        <v>196628.76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v>8386.61</v>
      </c>
      <c r="H24" s="18">
        <f>67559.78+61750</f>
        <v>129309.78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678124.34</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v>1180.6099999999999</v>
      </c>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25094.67</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f>10030+1339.28</f>
        <v>11369.28</v>
      </c>
      <c r="G30" s="18">
        <v>46601.37</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714588.29</v>
      </c>
      <c r="G32" s="41">
        <f>SUM(G22:G31)</f>
        <v>56168.590000000004</v>
      </c>
      <c r="H32" s="41">
        <f>SUM(H22:H31)</f>
        <v>129309.78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51598.2</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-26855.65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2898128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14927.67+36662.8-3551.97</f>
        <v>48038.5</v>
      </c>
      <c r="I48" s="18"/>
      <c r="J48" s="13">
        <f>SUM(I460)</f>
        <v>196628.76</v>
      </c>
      <c r="K48" s="24" t="s">
        <v>288</v>
      </c>
      <c r="L48" s="24" t="s">
        <v>288</v>
      </c>
      <c r="M48" s="8"/>
      <c r="N48" s="264"/>
    </row>
    <row r="49" spans="1:14" s="3" customFormat="1" ht="12.2" customHeight="1" x14ac:dyDescent="0.15">
      <c r="A49" s="1" t="s">
        <v>859</v>
      </c>
      <c r="B49" s="2" t="s">
        <v>289</v>
      </c>
      <c r="C49" s="6">
        <v>34</v>
      </c>
      <c r="D49" s="2"/>
      <c r="E49" s="6">
        <v>753</v>
      </c>
      <c r="F49" s="18">
        <v>659175.98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4430853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7988156.9800000004</v>
      </c>
      <c r="G51" s="41">
        <f>SUM(G35:G50)</f>
        <v>24742.549999999996</v>
      </c>
      <c r="H51" s="41">
        <f>SUM(H35:H50)</f>
        <v>48038.5</v>
      </c>
      <c r="I51" s="41">
        <f>SUM(I35:I50)</f>
        <v>0</v>
      </c>
      <c r="J51" s="41">
        <f>SUM(J35:J50)</f>
        <v>196628.76</v>
      </c>
      <c r="K51" s="45" t="s">
        <v>288</v>
      </c>
      <c r="L51" s="45" t="s">
        <v>288</v>
      </c>
      <c r="N51" s="262"/>
    </row>
    <row r="52" spans="1:14" s="3" customFormat="1" ht="12.2" customHeight="1" thickTop="1" x14ac:dyDescent="0.15">
      <c r="A52" s="38" t="s">
        <v>455</v>
      </c>
      <c r="B52" s="39" t="s">
        <v>289</v>
      </c>
      <c r="C52" s="6">
        <v>37</v>
      </c>
      <c r="D52" s="39" t="s">
        <v>653</v>
      </c>
      <c r="E52" s="39"/>
      <c r="F52" s="41">
        <f>F51+F32</f>
        <v>8702745.2699999996</v>
      </c>
      <c r="G52" s="41">
        <f>G51+G32</f>
        <v>80911.14</v>
      </c>
      <c r="H52" s="41">
        <f>H51+H32</f>
        <v>177348.28</v>
      </c>
      <c r="I52" s="41">
        <f>I51+I32</f>
        <v>0</v>
      </c>
      <c r="J52" s="41">
        <f>J51+J32</f>
        <v>196628.76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51373622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51373622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39060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404.13</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39464.129999999997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8231.11</v>
      </c>
      <c r="G96" s="18"/>
      <c r="H96" s="18"/>
      <c r="I96" s="18"/>
      <c r="J96" s="18">
        <v>2291.98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33541.19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21250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4058.25</v>
      </c>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615000.47</f>
        <v>615000.47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644481.57999999996</v>
      </c>
      <c r="G111" s="41">
        <f>SUM(G96:G110)</f>
        <v>37599.440000000002</v>
      </c>
      <c r="H111" s="41">
        <f>SUM(H96:H110)</f>
        <v>0</v>
      </c>
      <c r="I111" s="41">
        <f>SUM(I96:I110)</f>
        <v>0</v>
      </c>
      <c r="J111" s="41">
        <f>SUM(J96:J110)</f>
        <v>2291.98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52057567.710000001</v>
      </c>
      <c r="G112" s="41">
        <f>G60+G111</f>
        <v>37599.440000000002</v>
      </c>
      <c r="H112" s="41">
        <f>H60+H79+H94+H111</f>
        <v>0</v>
      </c>
      <c r="I112" s="41">
        <f>I60+I111</f>
        <v>0</v>
      </c>
      <c r="J112" s="41">
        <f>J60+J111</f>
        <v>2291.98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27151449.440000001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6588941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85154.17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33825544.609999999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462659.09</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530949.68000000005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28210.94+4680.98</f>
        <v>32891.919999999998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993608.77</v>
      </c>
      <c r="G136" s="41">
        <f>SUM(G123:G135)</f>
        <v>32891.919999999998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34819153.380000003</v>
      </c>
      <c r="G140" s="41">
        <f>G121+SUM(G136:G137)</f>
        <v>32891.919999999998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891129.02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606936.58+1066057.29</f>
        <v>1672993.87</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f>98801.21+185</f>
        <v>98986.21</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1291625.21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1601916.17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118783.79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1998990</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258595.65</v>
      </c>
      <c r="G162" s="24" t="s">
        <v>288</v>
      </c>
      <c r="H162" s="18">
        <v>425558.84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2376369.44</v>
      </c>
      <c r="G163" s="41">
        <f>SUM(G150:G162)</f>
        <v>1291625.21</v>
      </c>
      <c r="H163" s="41">
        <f>SUM(H150:H162)</f>
        <v>4690584.1099999994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2376369.44</v>
      </c>
      <c r="G170" s="41">
        <f>G147+G163+SUM(G164:G169)</f>
        <v>1291625.21</v>
      </c>
      <c r="H170" s="41">
        <f>H147+H163+SUM(H164:H169)</f>
        <v>4690584.1099999994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89253090.530000001</v>
      </c>
      <c r="G194" s="47">
        <f>G112+G140+G170+G193</f>
        <v>1362116.57</v>
      </c>
      <c r="H194" s="47">
        <f>H112+H140+H170+H193</f>
        <v>4690584.1099999994</v>
      </c>
      <c r="I194" s="47">
        <f>I112+I140+I170+I193</f>
        <v>0</v>
      </c>
      <c r="J194" s="47">
        <f>J112+J140+J193</f>
        <v>2291.98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7826156.6699999999</v>
      </c>
      <c r="G198" s="18">
        <v>4985614.93</v>
      </c>
      <c r="H198" s="18">
        <v>1082.81</v>
      </c>
      <c r="I198" s="18">
        <v>101911.9</v>
      </c>
      <c r="J198" s="18">
        <v>3789.69</v>
      </c>
      <c r="K198" s="18">
        <v>0</v>
      </c>
      <c r="L198" s="19">
        <f>SUM(F198:K198)</f>
        <v>12918556</v>
      </c>
      <c r="M198" s="8"/>
      <c r="N198" s="264"/>
    </row>
    <row r="199" spans="1:14" s="3" customFormat="1" ht="12.2" customHeight="1" x14ac:dyDescent="0.15">
      <c r="A199" s="1" t="s">
        <v>439</v>
      </c>
      <c r="B199" s="2" t="s">
        <v>341</v>
      </c>
      <c r="C199" s="2" t="s">
        <v>291</v>
      </c>
      <c r="D199" s="2" t="s">
        <v>431</v>
      </c>
      <c r="E199" s="6">
        <v>1200</v>
      </c>
      <c r="F199" s="18">
        <v>4059276.3</v>
      </c>
      <c r="G199" s="18">
        <v>2009838.71</v>
      </c>
      <c r="H199" s="18">
        <v>1602597.04</v>
      </c>
      <c r="I199" s="18">
        <v>2767.1</v>
      </c>
      <c r="J199" s="18">
        <v>7796.21</v>
      </c>
      <c r="K199" s="18">
        <v>3695.9</v>
      </c>
      <c r="L199" s="19">
        <f>SUM(F199:K199)</f>
        <v>7685971.2599999998</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52432.09</v>
      </c>
      <c r="G201" s="18">
        <v>12749.88</v>
      </c>
      <c r="H201" s="18">
        <v>0</v>
      </c>
      <c r="I201" s="18">
        <v>0</v>
      </c>
      <c r="J201" s="18">
        <v>0</v>
      </c>
      <c r="K201" s="18">
        <v>0</v>
      </c>
      <c r="L201" s="19">
        <f>SUM(F201:K201)</f>
        <v>65181.969999999994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2072554.15</v>
      </c>
      <c r="G203" s="18">
        <v>1341688.71</v>
      </c>
      <c r="H203" s="18">
        <v>896816.94</v>
      </c>
      <c r="I203" s="18">
        <v>22021.62</v>
      </c>
      <c r="J203" s="18">
        <v>0</v>
      </c>
      <c r="K203" s="18">
        <v>0</v>
      </c>
      <c r="L203" s="19">
        <f t="shared" ref="L203:L209" si="0">SUM(F203:K203)</f>
        <v>4333081.42</v>
      </c>
      <c r="M203" s="8"/>
      <c r="N203" s="264"/>
    </row>
    <row r="204" spans="1:14" s="3" customFormat="1" ht="12.2" customHeight="1" x14ac:dyDescent="0.15">
      <c r="A204" s="1" t="s">
        <v>443</v>
      </c>
      <c r="B204" s="2" t="s">
        <v>341</v>
      </c>
      <c r="C204" s="2" t="s">
        <v>295</v>
      </c>
      <c r="D204" s="2" t="s">
        <v>431</v>
      </c>
      <c r="E204" s="6">
        <v>2200</v>
      </c>
      <c r="F204" s="18">
        <v>471352.65</v>
      </c>
      <c r="G204" s="18">
        <v>239136.36</v>
      </c>
      <c r="H204" s="18">
        <v>134095.97</v>
      </c>
      <c r="I204" s="18">
        <v>179806.77</v>
      </c>
      <c r="J204" s="18">
        <v>60102.15</v>
      </c>
      <c r="K204" s="18">
        <v>874.72</v>
      </c>
      <c r="L204" s="19">
        <f t="shared" si="0"/>
        <v>1085368.6199999999</v>
      </c>
      <c r="M204" s="8"/>
      <c r="N204" s="264"/>
    </row>
    <row r="205" spans="1:14" s="3" customFormat="1" ht="12.2" customHeight="1" x14ac:dyDescent="0.15">
      <c r="A205" s="1" t="s">
        <v>444</v>
      </c>
      <c r="B205" s="2" t="s">
        <v>341</v>
      </c>
      <c r="C205" s="2" t="s">
        <v>296</v>
      </c>
      <c r="D205" s="2" t="s">
        <v>431</v>
      </c>
      <c r="E205" s="6">
        <v>2300</v>
      </c>
      <c r="F205" s="18">
        <v>339145.89</v>
      </c>
      <c r="G205" s="18">
        <v>182086.94</v>
      </c>
      <c r="H205" s="18">
        <v>108128.67</v>
      </c>
      <c r="I205" s="18">
        <v>7361.04</v>
      </c>
      <c r="J205" s="18">
        <v>0</v>
      </c>
      <c r="K205" s="18">
        <v>7679.97</v>
      </c>
      <c r="L205" s="19">
        <f t="shared" si="0"/>
        <v>644402.51</v>
      </c>
      <c r="M205" s="8"/>
      <c r="N205" s="264"/>
    </row>
    <row r="206" spans="1:14" s="3" customFormat="1" ht="12.2" customHeight="1" x14ac:dyDescent="0.15">
      <c r="A206" s="1" t="s">
        <v>445</v>
      </c>
      <c r="B206" s="2" t="s">
        <v>341</v>
      </c>
      <c r="C206" s="2" t="s">
        <v>297</v>
      </c>
      <c r="D206" s="2" t="s">
        <v>431</v>
      </c>
      <c r="E206" s="6">
        <v>2400</v>
      </c>
      <c r="F206" s="18">
        <v>1305384.6200000001</v>
      </c>
      <c r="G206" s="18">
        <v>949333.97</v>
      </c>
      <c r="H206" s="18">
        <v>107509.62</v>
      </c>
      <c r="I206" s="18">
        <v>10704.91</v>
      </c>
      <c r="J206" s="18">
        <v>-1182.5</v>
      </c>
      <c r="K206" s="18">
        <v>7192</v>
      </c>
      <c r="L206" s="19">
        <f t="shared" si="0"/>
        <v>2378942.62</v>
      </c>
      <c r="M206" s="8"/>
      <c r="N206" s="264"/>
    </row>
    <row r="207" spans="1:14" s="3" customFormat="1" ht="12.2" customHeight="1" x14ac:dyDescent="0.15">
      <c r="A207" s="1" t="s">
        <v>446</v>
      </c>
      <c r="B207" s="2" t="s">
        <v>341</v>
      </c>
      <c r="C207" s="2" t="s">
        <v>298</v>
      </c>
      <c r="D207" s="2" t="s">
        <v>431</v>
      </c>
      <c r="E207" s="6">
        <v>2500</v>
      </c>
      <c r="F207" s="18">
        <v>270973</v>
      </c>
      <c r="G207" s="18">
        <v>126678.82</v>
      </c>
      <c r="H207" s="18">
        <v>1901.57</v>
      </c>
      <c r="I207" s="18">
        <v>1196.49</v>
      </c>
      <c r="J207" s="18">
        <v>0</v>
      </c>
      <c r="K207" s="18">
        <v>1052.75</v>
      </c>
      <c r="L207" s="19">
        <f t="shared" si="0"/>
        <v>401802.63</v>
      </c>
      <c r="M207" s="8"/>
      <c r="N207" s="264"/>
    </row>
    <row r="208" spans="1:14" s="3" customFormat="1" ht="12.2" customHeight="1" x14ac:dyDescent="0.15">
      <c r="A208" s="1" t="s">
        <v>447</v>
      </c>
      <c r="B208" s="2" t="s">
        <v>341</v>
      </c>
      <c r="C208" s="2" t="s">
        <v>299</v>
      </c>
      <c r="D208" s="2" t="s">
        <v>431</v>
      </c>
      <c r="E208" s="6">
        <v>2600</v>
      </c>
      <c r="F208" s="18">
        <v>915948.43</v>
      </c>
      <c r="G208" s="18">
        <v>465350.65</v>
      </c>
      <c r="H208" s="18">
        <v>1072271.81</v>
      </c>
      <c r="I208" s="18">
        <v>624706.14</v>
      </c>
      <c r="J208" s="18">
        <v>0</v>
      </c>
      <c r="K208" s="18">
        <v>0</v>
      </c>
      <c r="L208" s="19">
        <f t="shared" si="0"/>
        <v>3078277.0300000003</v>
      </c>
      <c r="M208" s="8"/>
      <c r="N208" s="264"/>
    </row>
    <row r="209" spans="1:14" s="3" customFormat="1" ht="12.2" customHeight="1" x14ac:dyDescent="0.15">
      <c r="A209" s="1" t="s">
        <v>448</v>
      </c>
      <c r="B209" s="2" t="s">
        <v>341</v>
      </c>
      <c r="C209" s="2" t="s">
        <v>300</v>
      </c>
      <c r="D209" s="2" t="s">
        <v>431</v>
      </c>
      <c r="E209" s="6">
        <v>2700</v>
      </c>
      <c r="F209" s="18">
        <v>0</v>
      </c>
      <c r="G209" s="18">
        <v>0</v>
      </c>
      <c r="H209" s="18">
        <v>1413782.12</v>
      </c>
      <c r="I209" s="18">
        <v>0</v>
      </c>
      <c r="J209" s="18">
        <v>0</v>
      </c>
      <c r="K209" s="18">
        <v>0</v>
      </c>
      <c r="L209" s="19">
        <f t="shared" si="0"/>
        <v>1413782.12</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23540.9</v>
      </c>
      <c r="J210" s="18">
        <v>0</v>
      </c>
      <c r="K210" s="18">
        <v>0</v>
      </c>
      <c r="L210" s="19">
        <f>SUM(F210:K210)</f>
        <v>23540.9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17313223.800000001</v>
      </c>
      <c r="G212" s="41">
        <f t="shared" si="1"/>
        <v>10312478.970000001</v>
      </c>
      <c r="H212" s="41">
        <f t="shared" si="1"/>
        <v>5338186.5500000007</v>
      </c>
      <c r="I212" s="41">
        <f t="shared" si="1"/>
        <v>974016.87</v>
      </c>
      <c r="J212" s="41">
        <f t="shared" si="1"/>
        <v>70505.55</v>
      </c>
      <c r="K212" s="41">
        <f t="shared" si="1"/>
        <v>20495.34</v>
      </c>
      <c r="L212" s="41">
        <f t="shared" si="1"/>
        <v>34028907.079999998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4625395.46</v>
      </c>
      <c r="G216" s="18">
        <v>3007053.6</v>
      </c>
      <c r="H216" s="18">
        <v>7278.43</v>
      </c>
      <c r="I216" s="18">
        <v>37985.78</v>
      </c>
      <c r="J216" s="18">
        <v>1337.49</v>
      </c>
      <c r="K216" s="18">
        <v>0</v>
      </c>
      <c r="L216" s="19">
        <f>SUM(F216:K216)</f>
        <v>7679050.7600000007</v>
      </c>
      <c r="M216" s="8"/>
      <c r="N216" s="264"/>
    </row>
    <row r="217" spans="1:14" s="3" customFormat="1" ht="12.2" customHeight="1" x14ac:dyDescent="0.15">
      <c r="A217" s="1" t="s">
        <v>439</v>
      </c>
      <c r="B217" s="2" t="s">
        <v>346</v>
      </c>
      <c r="C217" s="2" t="s">
        <v>291</v>
      </c>
      <c r="D217" s="2" t="s">
        <v>431</v>
      </c>
      <c r="E217" s="6">
        <v>1200</v>
      </c>
      <c r="F217" s="18">
        <v>2002019.09</v>
      </c>
      <c r="G217" s="18">
        <v>960372.11</v>
      </c>
      <c r="H217" s="18">
        <v>608814.15</v>
      </c>
      <c r="I217" s="18">
        <v>798.07</v>
      </c>
      <c r="J217" s="18">
        <v>4681.72</v>
      </c>
      <c r="K217" s="18">
        <v>2219.44</v>
      </c>
      <c r="L217" s="19">
        <f>SUM(F217:K217)</f>
        <v>3578904.58</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61566.41</v>
      </c>
      <c r="G219" s="18">
        <v>14748.96</v>
      </c>
      <c r="H219" s="18">
        <v>-128</v>
      </c>
      <c r="I219" s="18">
        <v>287.97000000000003</v>
      </c>
      <c r="J219" s="18">
        <v>0</v>
      </c>
      <c r="K219" s="18">
        <v>70</v>
      </c>
      <c r="L219" s="19">
        <f>SUM(F219:K219)</f>
        <v>76545.34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1270151.5</v>
      </c>
      <c r="G221" s="18">
        <v>750693.16</v>
      </c>
      <c r="H221" s="18">
        <v>207739.02</v>
      </c>
      <c r="I221" s="18">
        <v>11592.35</v>
      </c>
      <c r="J221" s="18">
        <v>0</v>
      </c>
      <c r="K221" s="18">
        <v>0</v>
      </c>
      <c r="L221" s="19">
        <f t="shared" ref="L221:L227" si="2">SUM(F221:K221)</f>
        <v>2240176.0300000003</v>
      </c>
      <c r="M221" s="8"/>
      <c r="N221" s="264"/>
    </row>
    <row r="222" spans="1:14" s="3" customFormat="1" ht="12.2" customHeight="1" x14ac:dyDescent="0.15">
      <c r="A222" s="1" t="s">
        <v>443</v>
      </c>
      <c r="B222" s="2" t="s">
        <v>346</v>
      </c>
      <c r="C222" s="2" t="s">
        <v>295</v>
      </c>
      <c r="D222" s="2" t="s">
        <v>431</v>
      </c>
      <c r="E222" s="6">
        <v>2200</v>
      </c>
      <c r="F222" s="18">
        <v>280420.89</v>
      </c>
      <c r="G222" s="18">
        <v>154587.57</v>
      </c>
      <c r="H222" s="18">
        <v>80414.009999999995</v>
      </c>
      <c r="I222" s="18">
        <v>108835.83</v>
      </c>
      <c r="J222" s="18">
        <v>36092.07</v>
      </c>
      <c r="K222" s="18">
        <v>525.28</v>
      </c>
      <c r="L222" s="19">
        <f t="shared" si="2"/>
        <v>660875.65</v>
      </c>
      <c r="M222" s="8"/>
      <c r="N222" s="264"/>
    </row>
    <row r="223" spans="1:14" s="3" customFormat="1" ht="12.2" customHeight="1" x14ac:dyDescent="0.15">
      <c r="A223" s="1" t="s">
        <v>444</v>
      </c>
      <c r="B223" s="2" t="s">
        <v>346</v>
      </c>
      <c r="C223" s="2" t="s">
        <v>296</v>
      </c>
      <c r="D223" s="2" t="s">
        <v>431</v>
      </c>
      <c r="E223" s="6">
        <v>2300</v>
      </c>
      <c r="F223" s="18">
        <v>203661.24</v>
      </c>
      <c r="G223" s="18">
        <v>109345.43</v>
      </c>
      <c r="H223" s="18">
        <v>64932.58</v>
      </c>
      <c r="I223" s="18">
        <v>4420.3900000000003</v>
      </c>
      <c r="J223" s="18">
        <v>0</v>
      </c>
      <c r="K223" s="18">
        <v>4611.92</v>
      </c>
      <c r="L223" s="19">
        <f t="shared" si="2"/>
        <v>386971.56</v>
      </c>
      <c r="M223" s="8"/>
      <c r="N223" s="264"/>
    </row>
    <row r="224" spans="1:14" s="3" customFormat="1" ht="12.2" customHeight="1" x14ac:dyDescent="0.15">
      <c r="A224" s="1" t="s">
        <v>445</v>
      </c>
      <c r="B224" s="2" t="s">
        <v>346</v>
      </c>
      <c r="C224" s="2" t="s">
        <v>297</v>
      </c>
      <c r="D224" s="2" t="s">
        <v>431</v>
      </c>
      <c r="E224" s="6">
        <v>2400</v>
      </c>
      <c r="F224" s="18">
        <v>665570.35</v>
      </c>
      <c r="G224" s="18">
        <v>455456.02</v>
      </c>
      <c r="H224" s="18">
        <v>59580.17</v>
      </c>
      <c r="I224" s="18">
        <v>7034.49</v>
      </c>
      <c r="J224" s="18">
        <v>2260.8200000000002</v>
      </c>
      <c r="K224" s="18">
        <v>3147</v>
      </c>
      <c r="L224" s="19">
        <f t="shared" si="2"/>
        <v>1193048.8500000001</v>
      </c>
      <c r="M224" s="8"/>
      <c r="N224" s="264"/>
    </row>
    <row r="225" spans="1:14" s="3" customFormat="1" ht="12.2" customHeight="1" x14ac:dyDescent="0.15">
      <c r="A225" s="1" t="s">
        <v>446</v>
      </c>
      <c r="B225" s="2" t="s">
        <v>346</v>
      </c>
      <c r="C225" s="2" t="s">
        <v>298</v>
      </c>
      <c r="D225" s="2" t="s">
        <v>431</v>
      </c>
      <c r="E225" s="6">
        <v>2500</v>
      </c>
      <c r="F225" s="18">
        <v>162722.59</v>
      </c>
      <c r="G225" s="18">
        <v>76072.179999999993</v>
      </c>
      <c r="H225" s="18">
        <v>1141.9100000000001</v>
      </c>
      <c r="I225" s="18">
        <v>718.5</v>
      </c>
      <c r="J225" s="18">
        <v>0</v>
      </c>
      <c r="K225" s="18">
        <v>632.19000000000005</v>
      </c>
      <c r="L225" s="19">
        <f t="shared" si="2"/>
        <v>241287.37</v>
      </c>
      <c r="M225" s="8"/>
      <c r="N225" s="264"/>
    </row>
    <row r="226" spans="1:14" s="3" customFormat="1" ht="12.2" customHeight="1" x14ac:dyDescent="0.15">
      <c r="A226" s="1" t="s">
        <v>447</v>
      </c>
      <c r="B226" s="2" t="s">
        <v>346</v>
      </c>
      <c r="C226" s="2" t="s">
        <v>299</v>
      </c>
      <c r="D226" s="2" t="s">
        <v>431</v>
      </c>
      <c r="E226" s="6">
        <v>2600</v>
      </c>
      <c r="F226" s="18">
        <v>582989.4</v>
      </c>
      <c r="G226" s="18">
        <v>334164.61</v>
      </c>
      <c r="H226" s="18">
        <v>667240.04</v>
      </c>
      <c r="I226" s="18">
        <v>374753.85</v>
      </c>
      <c r="J226" s="18">
        <v>0</v>
      </c>
      <c r="K226" s="18">
        <v>0</v>
      </c>
      <c r="L226" s="19">
        <f t="shared" si="2"/>
        <v>1959147.9</v>
      </c>
      <c r="M226" s="8"/>
      <c r="N226" s="264"/>
    </row>
    <row r="227" spans="1:14" s="3" customFormat="1" ht="12.2" customHeight="1" x14ac:dyDescent="0.15">
      <c r="A227" s="1" t="s">
        <v>448</v>
      </c>
      <c r="B227" s="2" t="s">
        <v>346</v>
      </c>
      <c r="C227" s="2" t="s">
        <v>300</v>
      </c>
      <c r="D227" s="2" t="s">
        <v>431</v>
      </c>
      <c r="E227" s="6">
        <v>2700</v>
      </c>
      <c r="F227" s="18">
        <v>0</v>
      </c>
      <c r="G227" s="18">
        <v>0</v>
      </c>
      <c r="H227" s="18">
        <v>1007928.23</v>
      </c>
      <c r="I227" s="18">
        <v>0</v>
      </c>
      <c r="J227" s="18">
        <v>0</v>
      </c>
      <c r="K227" s="18">
        <v>0</v>
      </c>
      <c r="L227" s="19">
        <f t="shared" si="2"/>
        <v>1007928.23</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14136.6</v>
      </c>
      <c r="J228" s="18">
        <v>0</v>
      </c>
      <c r="K228" s="18">
        <v>0</v>
      </c>
      <c r="L228" s="19">
        <f>SUM(F228:K228)</f>
        <v>14136.6</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9854496.9299999997</v>
      </c>
      <c r="G230" s="41">
        <f>SUM(G216:G229)</f>
        <v>5862493.6399999997</v>
      </c>
      <c r="H230" s="41">
        <f>SUM(H216:H229)</f>
        <v>2704940.54</v>
      </c>
      <c r="I230" s="41">
        <f>SUM(I216:I229)</f>
        <v>560563.82999999996</v>
      </c>
      <c r="J230" s="41">
        <f>SUM(J216:J229)</f>
        <v>44372.1</v>
      </c>
      <c r="K230" s="41">
        <f t="shared" si="3"/>
        <v>11205.83</v>
      </c>
      <c r="L230" s="41">
        <f t="shared" si="3"/>
        <v>19038072.870000001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21404918.440000001</v>
      </c>
      <c r="I234" s="18">
        <v>0</v>
      </c>
      <c r="J234" s="18">
        <v>0</v>
      </c>
      <c r="K234" s="18">
        <v>0</v>
      </c>
      <c r="L234" s="19">
        <f>SUM(F234:K234)</f>
        <v>21404918.440000001</v>
      </c>
      <c r="M234" s="8"/>
      <c r="N234" s="264"/>
    </row>
    <row r="235" spans="1:14" s="3" customFormat="1" ht="12.2" customHeight="1" x14ac:dyDescent="0.15">
      <c r="A235" s="1" t="s">
        <v>439</v>
      </c>
      <c r="B235" s="2" t="s">
        <v>350</v>
      </c>
      <c r="C235" s="2" t="s">
        <v>291</v>
      </c>
      <c r="D235" s="2" t="s">
        <v>431</v>
      </c>
      <c r="E235" s="6">
        <v>1200</v>
      </c>
      <c r="F235" s="18">
        <v>75820</v>
      </c>
      <c r="G235" s="18">
        <v>50729.07</v>
      </c>
      <c r="H235" s="18">
        <v>6398088.4199999999</v>
      </c>
      <c r="I235" s="18">
        <v>0</v>
      </c>
      <c r="J235" s="18">
        <v>0</v>
      </c>
      <c r="K235" s="18">
        <v>0</v>
      </c>
      <c r="L235" s="19">
        <f>SUM(F235:K235)</f>
        <v>6524637.4900000002</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337897.58999999997</v>
      </c>
      <c r="I240" s="18">
        <v>0</v>
      </c>
      <c r="J240" s="18">
        <v>0</v>
      </c>
      <c r="K240" s="18">
        <v>0</v>
      </c>
      <c r="L240" s="19">
        <f t="shared" si="4"/>
        <v>337897.58999999997</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v>787373.77</v>
      </c>
      <c r="I245" s="18">
        <v>0</v>
      </c>
      <c r="J245" s="18">
        <v>0</v>
      </c>
      <c r="K245" s="18">
        <v>0</v>
      </c>
      <c r="L245" s="19">
        <f t="shared" si="4"/>
        <v>787373.77</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75820</v>
      </c>
      <c r="G248" s="41">
        <f t="shared" si="5"/>
        <v>50729.07</v>
      </c>
      <c r="H248" s="41">
        <f t="shared" si="5"/>
        <v>28928278.219999999</v>
      </c>
      <c r="I248" s="41">
        <f t="shared" si="5"/>
        <v>0</v>
      </c>
      <c r="J248" s="41">
        <f t="shared" si="5"/>
        <v>0</v>
      </c>
      <c r="K248" s="41">
        <f t="shared" si="5"/>
        <v>0</v>
      </c>
      <c r="L248" s="41">
        <f t="shared" si="5"/>
        <v>29054827.289999999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35775.120000000003</v>
      </c>
      <c r="G252" s="18">
        <v>3130.3</v>
      </c>
      <c r="H252" s="18">
        <v>2469.39</v>
      </c>
      <c r="I252" s="18">
        <v>8374.58</v>
      </c>
      <c r="J252" s="18">
        <v>0</v>
      </c>
      <c r="K252" s="18">
        <v>0</v>
      </c>
      <c r="L252" s="19">
        <f t="shared" si="6"/>
        <v>49749.390000000007</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35775.120000000003</v>
      </c>
      <c r="G257" s="41">
        <f t="shared" si="7"/>
        <v>3130.3</v>
      </c>
      <c r="H257" s="41">
        <f t="shared" si="7"/>
        <v>2469.39</v>
      </c>
      <c r="I257" s="41">
        <f t="shared" si="7"/>
        <v>8374.58</v>
      </c>
      <c r="J257" s="41">
        <f t="shared" si="7"/>
        <v>0</v>
      </c>
      <c r="K257" s="41">
        <f t="shared" si="7"/>
        <v>0</v>
      </c>
      <c r="L257" s="41">
        <f>SUM(F257:K257)</f>
        <v>49749.390000000007</v>
      </c>
      <c r="M257" s="8"/>
      <c r="N257" s="264"/>
    </row>
    <row r="258" spans="1:14" s="3" customFormat="1" ht="12.2" customHeight="1" thickTop="1" x14ac:dyDescent="0.15">
      <c r="A258" s="38" t="s">
        <v>462</v>
      </c>
      <c r="B258" s="40">
        <v>10</v>
      </c>
      <c r="C258" s="40">
        <v>8</v>
      </c>
      <c r="D258" s="39" t="s">
        <v>431</v>
      </c>
      <c r="E258" s="40"/>
      <c r="F258" s="41">
        <f t="shared" ref="F258:L258" si="8">F212+F230+F248+F257</f>
        <v>27279315.850000001</v>
      </c>
      <c r="G258" s="41">
        <f t="shared" si="8"/>
        <v>16228831.98</v>
      </c>
      <c r="H258" s="41">
        <f t="shared" si="8"/>
        <v>36973874.700000003</v>
      </c>
      <c r="I258" s="41">
        <f t="shared" si="8"/>
        <v>1542955.28</v>
      </c>
      <c r="J258" s="41">
        <f t="shared" si="8"/>
        <v>114877.65</v>
      </c>
      <c r="K258" s="41">
        <f t="shared" si="8"/>
        <v>31701.17</v>
      </c>
      <c r="L258" s="41">
        <f t="shared" si="8"/>
        <v>82171556.63000001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1731024.86</v>
      </c>
      <c r="L261" s="19">
        <f>SUM(F261:K261)</f>
        <v>1731024.86</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403103.94</v>
      </c>
      <c r="L262" s="19">
        <f>SUM(F262:K262)</f>
        <v>403103.94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2134128.8000000003</v>
      </c>
      <c r="L271" s="41">
        <f t="shared" si="9"/>
        <v>2134128.8000000003</v>
      </c>
      <c r="M271" s="8"/>
      <c r="N271" s="264"/>
    </row>
    <row r="272" spans="1:14" s="34" customFormat="1" ht="12.2" customHeight="1" thickTop="1" x14ac:dyDescent="0.2">
      <c r="A272" s="43" t="s">
        <v>464</v>
      </c>
      <c r="B272" s="40">
        <v>10</v>
      </c>
      <c r="C272" s="40">
        <v>18</v>
      </c>
      <c r="D272" s="39" t="s">
        <v>431</v>
      </c>
      <c r="E272" s="40"/>
      <c r="F272" s="42">
        <f t="shared" ref="F272:L272" si="11">F258+F271</f>
        <v>27279315.850000001</v>
      </c>
      <c r="G272" s="42">
        <f t="shared" si="11"/>
        <v>16228831.98</v>
      </c>
      <c r="H272" s="42">
        <f t="shared" si="11"/>
        <v>36973874.700000003</v>
      </c>
      <c r="I272" s="42">
        <f t="shared" si="11"/>
        <v>1542955.28</v>
      </c>
      <c r="J272" s="42">
        <f t="shared" si="11"/>
        <v>114877.65</v>
      </c>
      <c r="K272" s="42">
        <f t="shared" si="11"/>
        <v>2165829.9700000002</v>
      </c>
      <c r="L272" s="42">
        <f t="shared" si="11"/>
        <v>84305685.430000007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737926.96</v>
      </c>
      <c r="G277" s="18">
        <v>190653.66</v>
      </c>
      <c r="H277" s="18">
        <v>908.41000000000008</v>
      </c>
      <c r="I277" s="18">
        <f>384+85657.11</f>
        <v>86041.11</v>
      </c>
      <c r="J277" s="18">
        <v>16712.04</v>
      </c>
      <c r="K277" s="18">
        <v>0</v>
      </c>
      <c r="L277" s="19">
        <f>SUM(F277:K277)</f>
        <v>1032242.18</v>
      </c>
      <c r="M277" s="8"/>
      <c r="N277" s="264"/>
    </row>
    <row r="278" spans="1:14" s="3" customFormat="1" ht="12.2" customHeight="1" x14ac:dyDescent="0.15">
      <c r="A278" s="1" t="s">
        <v>439</v>
      </c>
      <c r="B278" s="2" t="s">
        <v>357</v>
      </c>
      <c r="C278" s="2" t="s">
        <v>291</v>
      </c>
      <c r="D278" s="2" t="s">
        <v>431</v>
      </c>
      <c r="E278" s="6">
        <v>1200</v>
      </c>
      <c r="F278" s="18">
        <v>389599.26999999996</v>
      </c>
      <c r="G278" s="18">
        <v>112855.25</v>
      </c>
      <c r="H278" s="18">
        <v>648636.35</v>
      </c>
      <c r="I278" s="18">
        <f>200008.95+1017</f>
        <v>201025.95</v>
      </c>
      <c r="J278" s="18">
        <v>147467.28</v>
      </c>
      <c r="K278" s="18">
        <v>0</v>
      </c>
      <c r="L278" s="19">
        <f>SUM(F278:K278)</f>
        <v>1499584.0999999999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8392.1299999999992</v>
      </c>
      <c r="G280" s="18">
        <v>1888.02</v>
      </c>
      <c r="H280" s="18">
        <v>0</v>
      </c>
      <c r="I280" s="18">
        <v>6149</v>
      </c>
      <c r="J280" s="18">
        <v>0</v>
      </c>
      <c r="K280" s="18">
        <v>0</v>
      </c>
      <c r="L280" s="19">
        <f>SUM(F280:K280)</f>
        <v>16429.150000000001</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4837.38</v>
      </c>
      <c r="G282" s="18">
        <v>1130.9000000000001</v>
      </c>
      <c r="H282" s="18">
        <v>18518.43</v>
      </c>
      <c r="I282" s="18">
        <f>3523.9+16394.38</f>
        <v>19918.280000000002</v>
      </c>
      <c r="J282" s="18">
        <v>0</v>
      </c>
      <c r="K282" s="18">
        <v>0</v>
      </c>
      <c r="L282" s="19">
        <f t="shared" ref="L282:L288" si="12">SUM(F282:K282)</f>
        <v>44404.990000000005</v>
      </c>
      <c r="M282" s="8"/>
      <c r="N282" s="264"/>
    </row>
    <row r="283" spans="1:14" s="3" customFormat="1" ht="12.2" customHeight="1" x14ac:dyDescent="0.15">
      <c r="A283" s="1" t="s">
        <v>443</v>
      </c>
      <c r="B283" s="2" t="s">
        <v>357</v>
      </c>
      <c r="C283" s="2" t="s">
        <v>295</v>
      </c>
      <c r="D283" s="2" t="s">
        <v>431</v>
      </c>
      <c r="E283" s="6">
        <v>2200</v>
      </c>
      <c r="F283" s="18">
        <v>176.82</v>
      </c>
      <c r="G283" s="18">
        <v>42.37</v>
      </c>
      <c r="H283" s="18">
        <v>7655.21</v>
      </c>
      <c r="I283" s="18">
        <v>69309.990000000005</v>
      </c>
      <c r="J283" s="18">
        <v>240597.9</v>
      </c>
      <c r="K283" s="18">
        <v>0</v>
      </c>
      <c r="L283" s="19">
        <f t="shared" si="12"/>
        <v>317782.28999999998</v>
      </c>
      <c r="M283" s="8"/>
      <c r="N283" s="264"/>
    </row>
    <row r="284" spans="1:14" s="3" customFormat="1" ht="12.2" customHeight="1" x14ac:dyDescent="0.15">
      <c r="A284" s="1" t="s">
        <v>444</v>
      </c>
      <c r="B284" s="2" t="s">
        <v>357</v>
      </c>
      <c r="C284" s="2" t="s">
        <v>296</v>
      </c>
      <c r="D284" s="2" t="s">
        <v>431</v>
      </c>
      <c r="E284" s="6">
        <v>2300</v>
      </c>
      <c r="F284" s="18">
        <v>500.5</v>
      </c>
      <c r="G284" s="18">
        <v>94.19</v>
      </c>
      <c r="H284" s="18">
        <v>12740.38</v>
      </c>
      <c r="I284" s="18">
        <v>1327.03</v>
      </c>
      <c r="J284" s="18">
        <v>0</v>
      </c>
      <c r="K284" s="18">
        <v>0</v>
      </c>
      <c r="L284" s="19">
        <f t="shared" si="12"/>
        <v>14662.1</v>
      </c>
      <c r="M284" s="8"/>
      <c r="N284" s="264"/>
    </row>
    <row r="285" spans="1:14" s="3" customFormat="1" ht="12.2" customHeight="1" x14ac:dyDescent="0.15">
      <c r="A285" s="1" t="s">
        <v>445</v>
      </c>
      <c r="B285" s="2" t="s">
        <v>357</v>
      </c>
      <c r="C285" s="2" t="s">
        <v>297</v>
      </c>
      <c r="D285" s="2" t="s">
        <v>431</v>
      </c>
      <c r="E285" s="6">
        <v>2400</v>
      </c>
      <c r="F285" s="18">
        <v>63.6</v>
      </c>
      <c r="G285" s="18">
        <v>11.04</v>
      </c>
      <c r="H285" s="18">
        <v>1368</v>
      </c>
      <c r="I285" s="18">
        <v>144.13</v>
      </c>
      <c r="J285" s="18">
        <v>10285.4</v>
      </c>
      <c r="K285" s="18">
        <v>0</v>
      </c>
      <c r="L285" s="19">
        <f t="shared" si="12"/>
        <v>11872.17</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217952.87</v>
      </c>
      <c r="J286" s="18">
        <v>0</v>
      </c>
      <c r="K286" s="18">
        <v>0</v>
      </c>
      <c r="L286" s="19">
        <f t="shared" si="12"/>
        <v>217952.87</v>
      </c>
      <c r="M286" s="8"/>
      <c r="N286" s="264"/>
    </row>
    <row r="287" spans="1:14" s="3" customFormat="1" ht="12.2" customHeight="1" x14ac:dyDescent="0.15">
      <c r="A287" s="1" t="s">
        <v>447</v>
      </c>
      <c r="B287" s="2" t="s">
        <v>357</v>
      </c>
      <c r="C287" s="2" t="s">
        <v>299</v>
      </c>
      <c r="D287" s="2" t="s">
        <v>431</v>
      </c>
      <c r="E287" s="6">
        <v>2600</v>
      </c>
      <c r="F287" s="18">
        <v>59325.15</v>
      </c>
      <c r="G287" s="18">
        <v>13848.36</v>
      </c>
      <c r="H287" s="18">
        <f>64088.11+156437.3</f>
        <v>220525.40999999997</v>
      </c>
      <c r="I287" s="18">
        <f>87022.46+471.61</f>
        <v>87494.07</v>
      </c>
      <c r="J287" s="18">
        <v>337.38</v>
      </c>
      <c r="K287" s="18">
        <v>0</v>
      </c>
      <c r="L287" s="19">
        <f t="shared" si="12"/>
        <v>381530.37</v>
      </c>
      <c r="M287" s="8"/>
      <c r="N287" s="264"/>
    </row>
    <row r="288" spans="1:14" s="3" customFormat="1" ht="12.2" customHeight="1" x14ac:dyDescent="0.15">
      <c r="A288" s="1" t="s">
        <v>448</v>
      </c>
      <c r="B288" s="2" t="s">
        <v>357</v>
      </c>
      <c r="C288" s="2" t="s">
        <v>300</v>
      </c>
      <c r="D288" s="2" t="s">
        <v>431</v>
      </c>
      <c r="E288" s="6">
        <v>2700</v>
      </c>
      <c r="F288" s="18">
        <v>0</v>
      </c>
      <c r="G288" s="18">
        <v>0</v>
      </c>
      <c r="H288" s="18">
        <v>180285.01</v>
      </c>
      <c r="I288" s="18">
        <v>0</v>
      </c>
      <c r="J288" s="18">
        <v>0</v>
      </c>
      <c r="K288" s="18">
        <v>0</v>
      </c>
      <c r="L288" s="19">
        <f t="shared" si="12"/>
        <v>180285.01</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1200821.8099999998</v>
      </c>
      <c r="G291" s="42">
        <f t="shared" si="13"/>
        <v>320523.79000000004</v>
      </c>
      <c r="H291" s="42">
        <f t="shared" si="13"/>
        <v>1090637.2</v>
      </c>
      <c r="I291" s="42">
        <f t="shared" si="13"/>
        <v>689362.43000000017</v>
      </c>
      <c r="J291" s="42">
        <f t="shared" si="13"/>
        <v>415400</v>
      </c>
      <c r="K291" s="42">
        <f t="shared" si="13"/>
        <v>0</v>
      </c>
      <c r="L291" s="41">
        <f t="shared" si="13"/>
        <v>3716745.2300000004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157827.46</v>
      </c>
      <c r="G296" s="18">
        <v>13240.62</v>
      </c>
      <c r="H296" s="18">
        <v>1669.1</v>
      </c>
      <c r="I296" s="18">
        <v>1848.62</v>
      </c>
      <c r="J296" s="18">
        <v>6334.26</v>
      </c>
      <c r="K296" s="18">
        <v>0</v>
      </c>
      <c r="L296" s="19">
        <f>SUM(F296:K296)</f>
        <v>180920.06</v>
      </c>
      <c r="M296" s="8"/>
      <c r="N296" s="264"/>
    </row>
    <row r="297" spans="1:14" s="3" customFormat="1" ht="12.2" customHeight="1" x14ac:dyDescent="0.15">
      <c r="A297" s="1" t="s">
        <v>439</v>
      </c>
      <c r="B297" s="2" t="s">
        <v>358</v>
      </c>
      <c r="C297" s="2" t="s">
        <v>291</v>
      </c>
      <c r="D297" s="2" t="s">
        <v>431</v>
      </c>
      <c r="E297" s="6">
        <v>1200</v>
      </c>
      <c r="F297" s="18">
        <v>236389.04</v>
      </c>
      <c r="G297" s="18">
        <v>68389.38</v>
      </c>
      <c r="H297" s="18">
        <v>205508.8</v>
      </c>
      <c r="I297" s="18">
        <v>91298.99</v>
      </c>
      <c r="J297" s="18">
        <v>70083.990000000005</v>
      </c>
      <c r="K297" s="18">
        <v>0</v>
      </c>
      <c r="L297" s="19">
        <f>SUM(F297:K297)</f>
        <v>671670.20000000007</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4514.13</v>
      </c>
      <c r="G299" s="18">
        <v>991.06</v>
      </c>
      <c r="H299" s="18">
        <v>0</v>
      </c>
      <c r="I299" s="18">
        <v>2720.61</v>
      </c>
      <c r="J299" s="18">
        <v>0</v>
      </c>
      <c r="K299" s="18">
        <v>0</v>
      </c>
      <c r="L299" s="19">
        <f>SUM(F299:K299)</f>
        <v>8225.8000000000011</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853.87</v>
      </c>
      <c r="G301" s="18">
        <v>233.85</v>
      </c>
      <c r="H301" s="18">
        <v>11120.55</v>
      </c>
      <c r="I301" s="18">
        <f>1409.6+9845.02</f>
        <v>11254.62</v>
      </c>
      <c r="J301" s="18">
        <v>0</v>
      </c>
      <c r="K301" s="18">
        <v>0</v>
      </c>
      <c r="L301" s="19">
        <f t="shared" ref="L301:L307" si="14">SUM(F301:K301)</f>
        <v>23462.89</v>
      </c>
      <c r="M301" s="8"/>
      <c r="N301" s="264"/>
    </row>
    <row r="302" spans="1:14" s="3" customFormat="1" ht="12.2" customHeight="1" x14ac:dyDescent="0.15">
      <c r="A302" s="1" t="s">
        <v>443</v>
      </c>
      <c r="B302" s="2" t="s">
        <v>358</v>
      </c>
      <c r="C302" s="2" t="s">
        <v>295</v>
      </c>
      <c r="D302" s="2" t="s">
        <v>431</v>
      </c>
      <c r="E302" s="6">
        <v>2200</v>
      </c>
      <c r="F302" s="18">
        <v>106.18</v>
      </c>
      <c r="G302" s="18">
        <v>25.45</v>
      </c>
      <c r="H302" s="18">
        <v>3899.55</v>
      </c>
      <c r="I302" s="18">
        <v>41621.5</v>
      </c>
      <c r="J302" s="18">
        <v>144481.97</v>
      </c>
      <c r="K302" s="18">
        <v>0</v>
      </c>
      <c r="L302" s="19">
        <f t="shared" si="14"/>
        <v>190134.65</v>
      </c>
      <c r="M302" s="8"/>
      <c r="N302" s="264"/>
    </row>
    <row r="303" spans="1:14" s="3" customFormat="1" ht="12.2" customHeight="1" x14ac:dyDescent="0.15">
      <c r="A303" s="1" t="s">
        <v>444</v>
      </c>
      <c r="B303" s="2" t="s">
        <v>358</v>
      </c>
      <c r="C303" s="2" t="s">
        <v>296</v>
      </c>
      <c r="D303" s="2" t="s">
        <v>431</v>
      </c>
      <c r="E303" s="6">
        <v>2300</v>
      </c>
      <c r="F303" s="18">
        <v>300.56</v>
      </c>
      <c r="G303" s="18">
        <v>56.57</v>
      </c>
      <c r="H303" s="18">
        <v>7650.76</v>
      </c>
      <c r="I303" s="18">
        <v>796.9</v>
      </c>
      <c r="J303" s="18">
        <v>0</v>
      </c>
      <c r="K303" s="18">
        <v>0</v>
      </c>
      <c r="L303" s="19">
        <f t="shared" si="14"/>
        <v>8804.7900000000009</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637.96</v>
      </c>
      <c r="J304" s="18">
        <v>42420.49</v>
      </c>
      <c r="K304" s="18">
        <v>0</v>
      </c>
      <c r="L304" s="19">
        <f t="shared" si="14"/>
        <v>43058.45</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130883.35</v>
      </c>
      <c r="J305" s="18">
        <v>0</v>
      </c>
      <c r="K305" s="18">
        <v>0</v>
      </c>
      <c r="L305" s="19">
        <f t="shared" si="14"/>
        <v>130883.35</v>
      </c>
      <c r="M305" s="8"/>
      <c r="N305" s="264"/>
    </row>
    <row r="306" spans="1:14" s="3" customFormat="1" ht="12.2" customHeight="1" x14ac:dyDescent="0.15">
      <c r="A306" s="1" t="s">
        <v>447</v>
      </c>
      <c r="B306" s="2" t="s">
        <v>358</v>
      </c>
      <c r="C306" s="2" t="s">
        <v>299</v>
      </c>
      <c r="D306" s="2" t="s">
        <v>431</v>
      </c>
      <c r="E306" s="6">
        <v>2600</v>
      </c>
      <c r="F306" s="18">
        <v>11293.06</v>
      </c>
      <c r="G306" s="18">
        <v>5181.9799999999996</v>
      </c>
      <c r="H306" s="18">
        <f>43854.61+801079.38</f>
        <v>844933.99</v>
      </c>
      <c r="I306" s="18">
        <f>53666.21+283.2</f>
        <v>53949.409999999996</v>
      </c>
      <c r="J306" s="18">
        <f>0+202.6</f>
        <v>202.6</v>
      </c>
      <c r="K306" s="18">
        <v>0</v>
      </c>
      <c r="L306" s="19">
        <f t="shared" si="14"/>
        <v>915561.04</v>
      </c>
      <c r="M306" s="8"/>
      <c r="N306" s="264"/>
    </row>
    <row r="307" spans="1:14" s="3" customFormat="1" ht="12.2" customHeight="1" x14ac:dyDescent="0.15">
      <c r="A307" s="1" t="s">
        <v>448</v>
      </c>
      <c r="B307" s="2" t="s">
        <v>358</v>
      </c>
      <c r="C307" s="2" t="s">
        <v>300</v>
      </c>
      <c r="D307" s="2" t="s">
        <v>431</v>
      </c>
      <c r="E307" s="6">
        <v>2700</v>
      </c>
      <c r="F307" s="18">
        <v>0</v>
      </c>
      <c r="G307" s="18">
        <v>0</v>
      </c>
      <c r="H307" s="18">
        <v>124701.61</v>
      </c>
      <c r="I307" s="18">
        <v>0</v>
      </c>
      <c r="J307" s="18">
        <v>0</v>
      </c>
      <c r="K307" s="18">
        <v>0</v>
      </c>
      <c r="L307" s="19">
        <f t="shared" si="14"/>
        <v>124701.61</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411284.3</v>
      </c>
      <c r="G310" s="42">
        <f t="shared" si="15"/>
        <v>88118.91</v>
      </c>
      <c r="H310" s="42">
        <f t="shared" si="15"/>
        <v>1199484.3600000001</v>
      </c>
      <c r="I310" s="42">
        <f t="shared" si="15"/>
        <v>335011.95999999996</v>
      </c>
      <c r="J310" s="42">
        <f t="shared" si="15"/>
        <v>263523.31</v>
      </c>
      <c r="K310" s="42">
        <f t="shared" si="15"/>
        <v>0</v>
      </c>
      <c r="L310" s="41">
        <f t="shared" si="15"/>
        <v>2297422.8400000003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162680.5</v>
      </c>
      <c r="J315" s="18">
        <v>371021.29</v>
      </c>
      <c r="K315" s="18">
        <v>0</v>
      </c>
      <c r="L315" s="19">
        <f>SUM(F315:K315)</f>
        <v>533701.79</v>
      </c>
      <c r="M315" s="8"/>
      <c r="N315" s="264"/>
    </row>
    <row r="316" spans="1:14" s="3" customFormat="1" ht="12.2" customHeight="1" x14ac:dyDescent="0.15">
      <c r="A316" s="1" t="s">
        <v>439</v>
      </c>
      <c r="B316" s="2" t="s">
        <v>359</v>
      </c>
      <c r="C316" s="2" t="s">
        <v>291</v>
      </c>
      <c r="D316" s="2" t="s">
        <v>431</v>
      </c>
      <c r="E316" s="6">
        <v>1200</v>
      </c>
      <c r="F316" s="18">
        <v>0</v>
      </c>
      <c r="G316" s="18">
        <v>0</v>
      </c>
      <c r="H316" s="18">
        <v>220367.25</v>
      </c>
      <c r="I316" s="18">
        <v>0</v>
      </c>
      <c r="J316" s="18">
        <v>0</v>
      </c>
      <c r="K316" s="18">
        <v>0</v>
      </c>
      <c r="L316" s="19">
        <f>SUM(F316:K316)</f>
        <v>220367.25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11646.17</v>
      </c>
      <c r="J321" s="18">
        <v>0</v>
      </c>
      <c r="K321" s="18">
        <v>0</v>
      </c>
      <c r="L321" s="19">
        <f t="shared" si="16"/>
        <v>11646.17</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70632.27</v>
      </c>
      <c r="I326" s="18">
        <v>0</v>
      </c>
      <c r="J326" s="18">
        <v>0</v>
      </c>
      <c r="K326" s="18">
        <v>0</v>
      </c>
      <c r="L326" s="19">
        <f t="shared" si="16"/>
        <v>70632.27</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290999.52</v>
      </c>
      <c r="I329" s="42">
        <f t="shared" si="17"/>
        <v>174326.67</v>
      </c>
      <c r="J329" s="42">
        <f t="shared" si="17"/>
        <v>371021.29</v>
      </c>
      <c r="K329" s="42">
        <f t="shared" si="17"/>
        <v>0</v>
      </c>
      <c r="L329" s="41">
        <f t="shared" si="17"/>
        <v>836347.4800000001</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v>72401.5</v>
      </c>
      <c r="G334" s="18">
        <v>5538.7800000000007</v>
      </c>
      <c r="H334" s="18">
        <f>5757.62+185</f>
        <v>5942.62</v>
      </c>
      <c r="I334" s="18">
        <v>8269.4500000000007</v>
      </c>
      <c r="J334" s="18">
        <v>6274.86</v>
      </c>
      <c r="K334" s="18">
        <v>559</v>
      </c>
      <c r="L334" s="19">
        <f t="shared" si="18"/>
        <v>98986.209999999992</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72401.5</v>
      </c>
      <c r="G338" s="41">
        <f t="shared" si="19"/>
        <v>5538.7800000000007</v>
      </c>
      <c r="H338" s="41">
        <f t="shared" si="19"/>
        <v>5942.62</v>
      </c>
      <c r="I338" s="41">
        <f t="shared" si="19"/>
        <v>8269.4500000000007</v>
      </c>
      <c r="J338" s="41">
        <f t="shared" si="19"/>
        <v>6274.86</v>
      </c>
      <c r="K338" s="41">
        <f t="shared" si="19"/>
        <v>559</v>
      </c>
      <c r="L338" s="41">
        <f t="shared" si="18"/>
        <v>98986.209999999992</v>
      </c>
      <c r="M338" s="8"/>
      <c r="N338" s="264"/>
    </row>
    <row r="339" spans="1:43" s="3" customFormat="1" ht="12.2" customHeight="1" thickTop="1" x14ac:dyDescent="0.15">
      <c r="A339" s="38" t="s">
        <v>468</v>
      </c>
      <c r="B339" s="40">
        <v>14</v>
      </c>
      <c r="C339" s="40">
        <v>7</v>
      </c>
      <c r="D339" s="39" t="s">
        <v>431</v>
      </c>
      <c r="E339" s="40"/>
      <c r="F339" s="41">
        <f t="shared" ref="F339:L339" si="20">F291+F310+F329+F338</f>
        <v>1684507.6099999999</v>
      </c>
      <c r="G339" s="41">
        <f t="shared" si="20"/>
        <v>414181.4800000001</v>
      </c>
      <c r="H339" s="41">
        <f t="shared" si="20"/>
        <v>2587063.7000000002</v>
      </c>
      <c r="I339" s="41">
        <f t="shared" si="20"/>
        <v>1206970.51</v>
      </c>
      <c r="J339" s="41">
        <f t="shared" si="20"/>
        <v>1056219.4600000002</v>
      </c>
      <c r="K339" s="41">
        <f t="shared" si="20"/>
        <v>559</v>
      </c>
      <c r="L339" s="41">
        <f t="shared" si="20"/>
        <v>6949501.7600000007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1684507.6099999999</v>
      </c>
      <c r="G353" s="41">
        <f>G339</f>
        <v>414181.4800000001</v>
      </c>
      <c r="H353" s="41">
        <f>H339</f>
        <v>2587063.7000000002</v>
      </c>
      <c r="I353" s="41">
        <f>I339</f>
        <v>1206970.51</v>
      </c>
      <c r="J353" s="41">
        <f>J339</f>
        <v>1056219.4600000002</v>
      </c>
      <c r="K353" s="47">
        <f>K339+K352</f>
        <v>559</v>
      </c>
      <c r="L353" s="41">
        <f>L339+L352</f>
        <v>6949501.7600000007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286486.36376799998</v>
      </c>
      <c r="G359" s="18">
        <v>137178.86996000001</v>
      </c>
      <c r="H359" s="18">
        <v>120630.44830400002</v>
      </c>
      <c r="I359" s="18">
        <v>292689.03825599997</v>
      </c>
      <c r="J359" s="18">
        <v>0</v>
      </c>
      <c r="K359" s="18">
        <v>562.32000000000005</v>
      </c>
      <c r="L359" s="13">
        <f>SUM(F359:K359)</f>
        <v>837547.04028800002</v>
      </c>
      <c r="M359" s="8"/>
      <c r="N359" s="264"/>
    </row>
    <row r="360" spans="1:22" s="3" customFormat="1" ht="12.2" customHeight="1" x14ac:dyDescent="0.15">
      <c r="A360" s="1" t="s">
        <v>542</v>
      </c>
      <c r="B360" s="2" t="s">
        <v>366</v>
      </c>
      <c r="C360" s="6">
        <v>2</v>
      </c>
      <c r="D360" s="2" t="s">
        <v>431</v>
      </c>
      <c r="E360" s="6"/>
      <c r="F360" s="18">
        <v>172038.54623199999</v>
      </c>
      <c r="G360" s="18">
        <v>82377.580040000001</v>
      </c>
      <c r="H360" s="18">
        <v>57911.971696000008</v>
      </c>
      <c r="I360" s="18">
        <v>189115.39174400002</v>
      </c>
      <c r="J360" s="18">
        <v>0</v>
      </c>
      <c r="K360" s="18">
        <v>337.68</v>
      </c>
      <c r="L360" s="19">
        <f>SUM(F360:K360)</f>
        <v>501781.169712</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458524.91</v>
      </c>
      <c r="G363" s="47">
        <f t="shared" si="22"/>
        <v>219556.45</v>
      </c>
      <c r="H363" s="47">
        <f t="shared" si="22"/>
        <v>178542.42000000004</v>
      </c>
      <c r="I363" s="47">
        <f t="shared" si="22"/>
        <v>481804.43</v>
      </c>
      <c r="J363" s="47">
        <f t="shared" si="22"/>
        <v>0</v>
      </c>
      <c r="K363" s="47">
        <f t="shared" si="22"/>
        <v>900</v>
      </c>
      <c r="L363" s="47">
        <f t="shared" si="22"/>
        <v>1339328.21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262255.46000000002</v>
      </c>
      <c r="G368" s="18">
        <v>169952.36</v>
      </c>
      <c r="H368" s="18">
        <v>0</v>
      </c>
      <c r="I368" s="56">
        <f>SUM(F368:H368)</f>
        <v>432207.82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30433.58</v>
      </c>
      <c r="G369" s="63">
        <v>19163.03</v>
      </c>
      <c r="H369" s="63">
        <v>0</v>
      </c>
      <c r="I369" s="56">
        <f>SUM(F369:H369)</f>
        <v>49596.61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292689.04000000004</v>
      </c>
      <c r="G370" s="47">
        <f>SUM(G368:G369)</f>
        <v>189115.38999999998</v>
      </c>
      <c r="H370" s="47">
        <f>SUM(H368:H369)</f>
        <v>0</v>
      </c>
      <c r="I370" s="47">
        <f>SUM(I368:I369)</f>
        <v>481804.43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2291.98</v>
      </c>
      <c r="I393" s="18"/>
      <c r="J393" s="24" t="s">
        <v>288</v>
      </c>
      <c r="K393" s="24" t="s">
        <v>288</v>
      </c>
      <c r="L393" s="56">
        <f t="shared" si="25"/>
        <v>2291.98</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2291.98</v>
      </c>
      <c r="I394" s="65">
        <f>SUM(I388:I393)</f>
        <v>0</v>
      </c>
      <c r="J394" s="45" t="s">
        <v>288</v>
      </c>
      <c r="K394" s="45" t="s">
        <v>288</v>
      </c>
      <c r="L394" s="47">
        <f>SUM(L388:L393)</f>
        <v>2291.98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2291.98</v>
      </c>
      <c r="I409" s="47">
        <f>I394+I402+I408</f>
        <v>0</v>
      </c>
      <c r="J409" s="24" t="s">
        <v>288</v>
      </c>
      <c r="K409" s="24" t="s">
        <v>288</v>
      </c>
      <c r="L409" s="47">
        <f>L394+L402+L408</f>
        <v>2291.98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196628.76</v>
      </c>
      <c r="G443" s="18"/>
      <c r="H443" s="18"/>
      <c r="I443" s="56">
        <f t="shared" si="33"/>
        <v>196628.76</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196628.76</v>
      </c>
      <c r="G447" s="13">
        <f>SUM(G440:G446)</f>
        <v>0</v>
      </c>
      <c r="H447" s="13">
        <f>SUM(H440:H446)</f>
        <v>0</v>
      </c>
      <c r="I447" s="13">
        <f>SUM(I440:I446)</f>
        <v>196628.76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196628.76</v>
      </c>
      <c r="G460" s="18"/>
      <c r="H460" s="18"/>
      <c r="I460" s="56">
        <f t="shared" si="34"/>
        <v>196628.76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196628.76</v>
      </c>
      <c r="G461" s="83">
        <f>SUM(G455:G460)</f>
        <v>0</v>
      </c>
      <c r="H461" s="83">
        <f>SUM(H455:H460)</f>
        <v>0</v>
      </c>
      <c r="I461" s="83">
        <f>SUM(I455:I460)</f>
        <v>196628.76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196628.76</v>
      </c>
      <c r="G462" s="42">
        <f>G453+G461</f>
        <v>0</v>
      </c>
      <c r="H462" s="42">
        <f>H453+H461</f>
        <v>0</v>
      </c>
      <c r="I462" s="42">
        <f>I453+I461</f>
        <v>196628.76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5019755.29+19986.59-1998990</f>
        <v>3040751.88</v>
      </c>
      <c r="G466" s="18">
        <v>1954.19</v>
      </c>
      <c r="H466" s="18">
        <f>2048360.5+258595.65</f>
        <v>2306956.15</v>
      </c>
      <c r="I466" s="18"/>
      <c r="J466" s="18">
        <v>194336.78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87254100.53+1998990</f>
        <v>89253090.530000001</v>
      </c>
      <c r="G469" s="18">
        <v>1362116.57</v>
      </c>
      <c r="H469" s="18">
        <f>6948169.76-1998990-258595.65</f>
        <v>4690584.1099999994</v>
      </c>
      <c r="I469" s="18"/>
      <c r="J469" s="18">
        <v>2291.98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89253090.530000001</v>
      </c>
      <c r="G471" s="53">
        <f>SUM(G469:G470)</f>
        <v>1362116.57</v>
      </c>
      <c r="H471" s="53">
        <f>SUM(H469:H470)</f>
        <v>4690584.1099999994</v>
      </c>
      <c r="I471" s="53">
        <f>SUM(I469:I470)</f>
        <v>0</v>
      </c>
      <c r="J471" s="53">
        <f>SUM(J469:J470)</f>
        <v>2291.98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84305685.430000007</v>
      </c>
      <c r="G473" s="18">
        <v>1339328.21</v>
      </c>
      <c r="H473" s="18">
        <f>5877591.78+1071909.98</f>
        <v>6949501.7599999998</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84305685.430000007</v>
      </c>
      <c r="G475" s="53">
        <f>SUM(G473:G474)</f>
        <v>1339328.21</v>
      </c>
      <c r="H475" s="53">
        <f>SUM(H473:H474)</f>
        <v>6949501.7599999998</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7988156.9799999893</v>
      </c>
      <c r="G477" s="53">
        <f>(G466+G471)- G475</f>
        <v>24742.550000000047</v>
      </c>
      <c r="H477" s="53">
        <f>(H466+H471)- H475</f>
        <v>48038.5</v>
      </c>
      <c r="I477" s="53">
        <f>(I466+I471)- I475</f>
        <v>0</v>
      </c>
      <c r="J477" s="53">
        <f>(J466+J471)- J475</f>
        <v>196628.76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f>
        <v>4448875.5699999994</v>
      </c>
      <c r="G522" s="18">
        <f t="shared" ref="G522:K522" si="36">G199+G278</f>
        <v>2122693.96</v>
      </c>
      <c r="H522" s="18">
        <f t="shared" si="36"/>
        <v>2251233.39</v>
      </c>
      <c r="I522" s="18">
        <f t="shared" si="36"/>
        <v>203793.05000000002</v>
      </c>
      <c r="J522" s="18">
        <f t="shared" si="36"/>
        <v>155263.49</v>
      </c>
      <c r="K522" s="18">
        <f t="shared" si="36"/>
        <v>3695.9</v>
      </c>
      <c r="L522" s="88">
        <f>SUM(F522:K522)</f>
        <v>9185555.3600000013</v>
      </c>
      <c r="N522" s="263"/>
    </row>
    <row r="523" spans="1:14" s="52" customFormat="1" ht="12.2" customHeight="1" x14ac:dyDescent="0.2">
      <c r="A523" s="22" t="s">
        <v>634</v>
      </c>
      <c r="B523" s="105">
        <v>21</v>
      </c>
      <c r="C523" s="115">
        <v>2</v>
      </c>
      <c r="D523" s="2" t="s">
        <v>432</v>
      </c>
      <c r="E523" s="115"/>
      <c r="F523" s="18">
        <f>F217+F278</f>
        <v>2391618.36</v>
      </c>
      <c r="G523" s="18">
        <f t="shared" ref="G523:K523" si="37">G217+G278</f>
        <v>1073227.3599999999</v>
      </c>
      <c r="H523" s="18">
        <f t="shared" si="37"/>
        <v>1257450.5</v>
      </c>
      <c r="I523" s="18">
        <f t="shared" si="37"/>
        <v>201824.02000000002</v>
      </c>
      <c r="J523" s="18">
        <f t="shared" si="37"/>
        <v>152149</v>
      </c>
      <c r="K523" s="18">
        <f t="shared" si="37"/>
        <v>2219.44</v>
      </c>
      <c r="L523" s="88">
        <f>SUM(F523:K523)</f>
        <v>5078488.6800000006</v>
      </c>
      <c r="N523" s="263"/>
    </row>
    <row r="524" spans="1:14" s="52" customFormat="1" ht="12.2" customHeight="1" thickBot="1" x14ac:dyDescent="0.25">
      <c r="A524" s="22" t="s">
        <v>635</v>
      </c>
      <c r="B524" s="105">
        <v>21</v>
      </c>
      <c r="C524" s="115">
        <v>3</v>
      </c>
      <c r="D524" s="2" t="s">
        <v>432</v>
      </c>
      <c r="E524" s="115"/>
      <c r="F524" s="18">
        <f t="shared" ref="F524:K524" si="38">F235+F316</f>
        <v>75820</v>
      </c>
      <c r="G524" s="18">
        <f t="shared" si="38"/>
        <v>50729.07</v>
      </c>
      <c r="H524" s="18">
        <f t="shared" si="38"/>
        <v>6618455.6699999999</v>
      </c>
      <c r="I524" s="18">
        <f t="shared" si="38"/>
        <v>0</v>
      </c>
      <c r="J524" s="18">
        <f t="shared" si="38"/>
        <v>0</v>
      </c>
      <c r="K524" s="18">
        <f t="shared" si="38"/>
        <v>0</v>
      </c>
      <c r="L524" s="88">
        <f>SUM(F524:K524)</f>
        <v>6745004.7400000002</v>
      </c>
      <c r="N524" s="263"/>
    </row>
    <row r="525" spans="1:14" s="52" customFormat="1" ht="12.2" customHeight="1" thickTop="1" x14ac:dyDescent="0.2">
      <c r="A525" s="139" t="s">
        <v>63</v>
      </c>
      <c r="B525" s="107">
        <v>21</v>
      </c>
      <c r="C525" s="195">
        <v>4</v>
      </c>
      <c r="D525" s="196" t="s">
        <v>432</v>
      </c>
      <c r="E525" s="195"/>
      <c r="F525" s="108">
        <f>SUM(F522:F524)</f>
        <v>6916313.9299999997</v>
      </c>
      <c r="G525" s="108">
        <f t="shared" ref="G525:L525" si="39">SUM(G522:G524)</f>
        <v>3246650.3899999997</v>
      </c>
      <c r="H525" s="108">
        <f t="shared" si="39"/>
        <v>10127139.560000001</v>
      </c>
      <c r="I525" s="108">
        <f t="shared" si="39"/>
        <v>405617.07000000007</v>
      </c>
      <c r="J525" s="108">
        <f t="shared" si="39"/>
        <v>307412.49</v>
      </c>
      <c r="K525" s="108">
        <f t="shared" si="39"/>
        <v>5915.34</v>
      </c>
      <c r="L525" s="89">
        <f t="shared" si="39"/>
        <v>21009048.780000001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64979.199999999997</v>
      </c>
      <c r="G527" s="18">
        <v>41240.43</v>
      </c>
      <c r="H527" s="18">
        <v>488651.36</v>
      </c>
      <c r="I527" s="18">
        <v>19944.36</v>
      </c>
      <c r="J527" s="18"/>
      <c r="K527" s="18"/>
      <c r="L527" s="88">
        <f>SUM(F527:K527)</f>
        <v>614815.35</v>
      </c>
      <c r="M527" s="8"/>
      <c r="N527" s="264"/>
    </row>
    <row r="528" spans="1:14" s="3" customFormat="1" ht="12.2" customHeight="1" x14ac:dyDescent="0.15">
      <c r="A528" s="22" t="s">
        <v>634</v>
      </c>
      <c r="B528" s="105">
        <v>21</v>
      </c>
      <c r="C528" s="115">
        <v>6</v>
      </c>
      <c r="D528" s="2" t="s">
        <v>432</v>
      </c>
      <c r="E528" s="115"/>
      <c r="F528" s="18">
        <v>39020.800000000003</v>
      </c>
      <c r="G528" s="18">
        <v>24765.379999999997</v>
      </c>
      <c r="H528" s="18">
        <v>102264.49</v>
      </c>
      <c r="I528" s="18">
        <v>11976.829999999998</v>
      </c>
      <c r="J528" s="18"/>
      <c r="K528" s="18"/>
      <c r="L528" s="88">
        <f>SUM(F528:K528)</f>
        <v>178027.5</v>
      </c>
      <c r="M528" s="8"/>
      <c r="N528" s="264"/>
    </row>
    <row r="529" spans="1:14" s="3" customFormat="1" ht="12.2" customHeight="1" thickBot="1" x14ac:dyDescent="0.2">
      <c r="A529" s="22" t="s">
        <v>635</v>
      </c>
      <c r="B529" s="118">
        <v>21</v>
      </c>
      <c r="C529" s="118">
        <v>7</v>
      </c>
      <c r="D529" s="2" t="s">
        <v>432</v>
      </c>
      <c r="E529" s="118"/>
      <c r="F529" s="18"/>
      <c r="G529" s="18"/>
      <c r="H529" s="18">
        <v>327670.40000000002</v>
      </c>
      <c r="I529" s="18"/>
      <c r="J529" s="18"/>
      <c r="K529" s="18"/>
      <c r="L529" s="88">
        <f>SUM(F529:K529)</f>
        <v>327670.40000000002</v>
      </c>
      <c r="M529" s="8"/>
      <c r="N529" s="264"/>
    </row>
    <row r="530" spans="1:14" s="3" customFormat="1" ht="12.2" customHeight="1" thickTop="1" x14ac:dyDescent="0.15">
      <c r="A530" s="139" t="s">
        <v>65</v>
      </c>
      <c r="B530" s="107">
        <v>21</v>
      </c>
      <c r="C530" s="107">
        <v>8</v>
      </c>
      <c r="D530" s="158" t="s">
        <v>432</v>
      </c>
      <c r="E530" s="107"/>
      <c r="F530" s="89">
        <f>SUM(F527:F529)</f>
        <v>104000</v>
      </c>
      <c r="G530" s="89">
        <f t="shared" ref="G530:L530" si="40">SUM(G527:G529)</f>
        <v>66005.81</v>
      </c>
      <c r="H530" s="89">
        <f t="shared" si="40"/>
        <v>918586.25</v>
      </c>
      <c r="I530" s="89">
        <f t="shared" si="40"/>
        <v>31921.19</v>
      </c>
      <c r="J530" s="89">
        <f t="shared" si="40"/>
        <v>0</v>
      </c>
      <c r="K530" s="89">
        <f t="shared" si="40"/>
        <v>0</v>
      </c>
      <c r="L530" s="89">
        <f t="shared" si="40"/>
        <v>1120513.25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159053.92000000001</v>
      </c>
      <c r="G532" s="18">
        <v>102701.94</v>
      </c>
      <c r="H532" s="18"/>
      <c r="I532" s="18"/>
      <c r="J532" s="18"/>
      <c r="K532" s="18"/>
      <c r="L532" s="88">
        <f>SUM(F532:K532)</f>
        <v>261755.86000000002</v>
      </c>
      <c r="M532" s="8"/>
      <c r="N532" s="264"/>
    </row>
    <row r="533" spans="1:14" s="3" customFormat="1" ht="12.2" customHeight="1" x14ac:dyDescent="0.15">
      <c r="A533" s="22" t="s">
        <v>634</v>
      </c>
      <c r="B533" s="105">
        <v>21</v>
      </c>
      <c r="C533" s="105">
        <v>10</v>
      </c>
      <c r="D533" s="2" t="s">
        <v>432</v>
      </c>
      <c r="E533" s="105"/>
      <c r="F533" s="18">
        <v>215275.27</v>
      </c>
      <c r="G533" s="18">
        <v>261902.24</v>
      </c>
      <c r="H533" s="18"/>
      <c r="I533" s="18"/>
      <c r="J533" s="18"/>
      <c r="K533" s="18"/>
      <c r="L533" s="88">
        <f>SUM(F533:K533)</f>
        <v>477177.51</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SUM(F528:F534)</f>
        <v>517349.99</v>
      </c>
      <c r="G535" s="89">
        <f t="shared" ref="G535:L535" si="41">SUM(G532:G534)</f>
        <v>364604.18</v>
      </c>
      <c r="H535" s="89">
        <f t="shared" si="41"/>
        <v>0</v>
      </c>
      <c r="I535" s="89">
        <f t="shared" si="41"/>
        <v>0</v>
      </c>
      <c r="J535" s="89">
        <f t="shared" si="41"/>
        <v>0</v>
      </c>
      <c r="K535" s="89">
        <f t="shared" si="41"/>
        <v>0</v>
      </c>
      <c r="L535" s="89">
        <f t="shared" si="41"/>
        <v>738933.37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39960.61</v>
      </c>
      <c r="I537" s="18"/>
      <c r="J537" s="18"/>
      <c r="K537" s="18"/>
      <c r="L537" s="88">
        <f>SUM(F537:K537)</f>
        <v>39960.61</v>
      </c>
      <c r="M537" s="8"/>
      <c r="N537" s="264"/>
    </row>
    <row r="538" spans="1:14" s="3" customFormat="1" ht="12.2" customHeight="1" x14ac:dyDescent="0.15">
      <c r="A538" s="22" t="s">
        <v>634</v>
      </c>
      <c r="B538" s="105">
        <v>21</v>
      </c>
      <c r="C538" s="105">
        <v>14</v>
      </c>
      <c r="D538" s="2" t="s">
        <v>432</v>
      </c>
      <c r="E538" s="105"/>
      <c r="F538" s="18"/>
      <c r="G538" s="18"/>
      <c r="H538" s="18">
        <v>22356.67</v>
      </c>
      <c r="I538" s="18"/>
      <c r="J538" s="18"/>
      <c r="K538" s="18"/>
      <c r="L538" s="88">
        <f>SUM(F538:K538)</f>
        <v>22356.67</v>
      </c>
      <c r="M538" s="8"/>
      <c r="N538" s="264"/>
    </row>
    <row r="539" spans="1:14" s="3" customFormat="1" ht="12.2" customHeight="1" thickBot="1" x14ac:dyDescent="0.2">
      <c r="A539" s="22" t="s">
        <v>635</v>
      </c>
      <c r="B539" s="105">
        <v>21</v>
      </c>
      <c r="C539" s="105">
        <v>15</v>
      </c>
      <c r="D539" s="2" t="s">
        <v>432</v>
      </c>
      <c r="E539" s="105"/>
      <c r="F539" s="18"/>
      <c r="G539" s="18"/>
      <c r="H539" s="18">
        <v>34119.480000000003</v>
      </c>
      <c r="I539" s="18"/>
      <c r="J539" s="18"/>
      <c r="K539" s="18"/>
      <c r="L539" s="88">
        <f>SUM(F539:K539)</f>
        <v>34119.480000000003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96436.760000000009</v>
      </c>
      <c r="I540" s="89">
        <f t="shared" si="42"/>
        <v>0</v>
      </c>
      <c r="J540" s="89">
        <f t="shared" si="42"/>
        <v>0</v>
      </c>
      <c r="K540" s="89">
        <f t="shared" si="42"/>
        <v>0</v>
      </c>
      <c r="L540" s="89">
        <f t="shared" si="42"/>
        <v>96436.760000000009</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706266.33</v>
      </c>
      <c r="I542" s="18"/>
      <c r="J542" s="18"/>
      <c r="K542" s="18"/>
      <c r="L542" s="88">
        <f>SUM(F542:K542)</f>
        <v>706266.33</v>
      </c>
      <c r="M542" s="8"/>
      <c r="N542" s="264"/>
    </row>
    <row r="543" spans="1:14" s="3" customFormat="1" ht="12.2" customHeight="1" x14ac:dyDescent="0.15">
      <c r="A543" s="22" t="s">
        <v>634</v>
      </c>
      <c r="B543" s="105">
        <v>21</v>
      </c>
      <c r="C543" s="105">
        <v>18</v>
      </c>
      <c r="D543" s="2" t="s">
        <v>432</v>
      </c>
      <c r="E543" s="105"/>
      <c r="F543" s="18"/>
      <c r="G543" s="18"/>
      <c r="H543" s="18">
        <v>220665.13</v>
      </c>
      <c r="I543" s="18"/>
      <c r="J543" s="18"/>
      <c r="K543" s="18"/>
      <c r="L543" s="88">
        <f>SUM(F543:K543)</f>
        <v>220665.13</v>
      </c>
      <c r="M543" s="8"/>
      <c r="N543" s="264"/>
    </row>
    <row r="544" spans="1:14" s="3" customFormat="1" ht="12.2" customHeight="1" thickBot="1" x14ac:dyDescent="0.2">
      <c r="A544" s="22" t="s">
        <v>635</v>
      </c>
      <c r="B544" s="105">
        <v>21</v>
      </c>
      <c r="C544" s="105">
        <v>19</v>
      </c>
      <c r="D544" s="2" t="s">
        <v>432</v>
      </c>
      <c r="E544" s="105"/>
      <c r="F544" s="18"/>
      <c r="G544" s="18"/>
      <c r="H544" s="18">
        <v>194439.28</v>
      </c>
      <c r="I544" s="18"/>
      <c r="J544" s="18"/>
      <c r="K544" s="18"/>
      <c r="L544" s="88">
        <f>SUM(F544:K544)</f>
        <v>194439.28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3">SUM(G542:G544)</f>
        <v>0</v>
      </c>
      <c r="H545" s="193">
        <f t="shared" si="43"/>
        <v>1121370.74</v>
      </c>
      <c r="I545" s="193">
        <f t="shared" si="43"/>
        <v>0</v>
      </c>
      <c r="J545" s="193">
        <f t="shared" si="43"/>
        <v>0</v>
      </c>
      <c r="K545" s="193">
        <f t="shared" si="43"/>
        <v>0</v>
      </c>
      <c r="L545" s="193">
        <f t="shared" si="43"/>
        <v>1121370.74</v>
      </c>
      <c r="M545" s="8"/>
      <c r="N545" s="264"/>
    </row>
    <row r="546" spans="1:14" s="3" customFormat="1" ht="12.2" customHeight="1" thickTop="1" x14ac:dyDescent="0.15">
      <c r="A546" s="98" t="s">
        <v>72</v>
      </c>
      <c r="B546" s="107">
        <v>21</v>
      </c>
      <c r="C546" s="107">
        <v>21</v>
      </c>
      <c r="D546" s="158" t="s">
        <v>432</v>
      </c>
      <c r="E546" s="107"/>
      <c r="F546" s="89">
        <f>F525+F530+F535+F540+F545</f>
        <v>7537663.9199999999</v>
      </c>
      <c r="G546" s="89">
        <f t="shared" ref="G546:L546" si="44">G525+G530+G535+G540+G545</f>
        <v>3677260.38</v>
      </c>
      <c r="H546" s="89">
        <f t="shared" si="44"/>
        <v>12263533.310000001</v>
      </c>
      <c r="I546" s="89">
        <f t="shared" si="44"/>
        <v>437538.26000000007</v>
      </c>
      <c r="J546" s="89">
        <f t="shared" si="44"/>
        <v>307412.49</v>
      </c>
      <c r="K546" s="89">
        <f t="shared" si="44"/>
        <v>5915.34</v>
      </c>
      <c r="L546" s="89">
        <f t="shared" si="44"/>
        <v>24086302.900000002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9185555.3600000013</v>
      </c>
      <c r="G550" s="87">
        <f>L527</f>
        <v>614815.35</v>
      </c>
      <c r="H550" s="87">
        <f>L532</f>
        <v>261755.86000000002</v>
      </c>
      <c r="I550" s="87">
        <f>L537</f>
        <v>39960.61</v>
      </c>
      <c r="J550" s="87">
        <f>L542</f>
        <v>706266.33</v>
      </c>
      <c r="K550" s="87">
        <f>SUM(F550:J550)</f>
        <v>10808353.51</v>
      </c>
      <c r="L550" s="24" t="s">
        <v>288</v>
      </c>
      <c r="M550" s="8"/>
      <c r="N550" s="264"/>
    </row>
    <row r="551" spans="1:14" s="3" customFormat="1" ht="12.2" customHeight="1" x14ac:dyDescent="0.15">
      <c r="A551" s="22" t="s">
        <v>634</v>
      </c>
      <c r="B551" s="75">
        <v>21</v>
      </c>
      <c r="C551" s="75">
        <v>23</v>
      </c>
      <c r="D551" s="2" t="s">
        <v>432</v>
      </c>
      <c r="E551" s="75"/>
      <c r="F551" s="87">
        <f>L523</f>
        <v>5078488.6800000006</v>
      </c>
      <c r="G551" s="87">
        <f>L528</f>
        <v>178027.5</v>
      </c>
      <c r="H551" s="87">
        <f>L533</f>
        <v>477177.51</v>
      </c>
      <c r="I551" s="87">
        <f>L538</f>
        <v>22356.67</v>
      </c>
      <c r="J551" s="87">
        <f>L543</f>
        <v>220665.13</v>
      </c>
      <c r="K551" s="87">
        <f>SUM(F551:J551)</f>
        <v>5976715.4900000002</v>
      </c>
      <c r="L551" s="24" t="s">
        <v>288</v>
      </c>
      <c r="M551" s="8"/>
      <c r="N551" s="264"/>
    </row>
    <row r="552" spans="1:14" s="3" customFormat="1" ht="12.2" customHeight="1" thickBot="1" x14ac:dyDescent="0.2">
      <c r="A552" s="22" t="s">
        <v>635</v>
      </c>
      <c r="B552" s="75">
        <v>21</v>
      </c>
      <c r="C552" s="75">
        <v>24</v>
      </c>
      <c r="D552" s="2" t="s">
        <v>432</v>
      </c>
      <c r="E552" s="75"/>
      <c r="F552" s="87">
        <f>L524</f>
        <v>6745004.7400000002</v>
      </c>
      <c r="G552" s="87">
        <f>L529</f>
        <v>327670.40000000002</v>
      </c>
      <c r="H552" s="87">
        <f>L534</f>
        <v>0</v>
      </c>
      <c r="I552" s="87">
        <f>L539</f>
        <v>34119.480000000003</v>
      </c>
      <c r="J552" s="87">
        <f>L544</f>
        <v>194439.28</v>
      </c>
      <c r="K552" s="87">
        <f>SUM(F552:J552)</f>
        <v>7301233.9000000013</v>
      </c>
      <c r="L552" s="24" t="s">
        <v>288</v>
      </c>
      <c r="M552" s="8"/>
      <c r="N552" s="264"/>
    </row>
    <row r="553" spans="1:14" s="3" customFormat="1" ht="12.2" customHeight="1" thickTop="1" x14ac:dyDescent="0.15">
      <c r="A553" s="172" t="s">
        <v>340</v>
      </c>
      <c r="B553" s="44">
        <v>21</v>
      </c>
      <c r="C553" s="44">
        <v>25</v>
      </c>
      <c r="D553" s="39" t="s">
        <v>432</v>
      </c>
      <c r="E553" s="44"/>
      <c r="F553" s="89">
        <f t="shared" ref="F553:K553" si="45">SUM(F550:F552)</f>
        <v>21009048.780000001</v>
      </c>
      <c r="G553" s="89">
        <f t="shared" si="45"/>
        <v>1120513.25</v>
      </c>
      <c r="H553" s="89">
        <f t="shared" si="45"/>
        <v>738933.37</v>
      </c>
      <c r="I553" s="89">
        <f t="shared" si="45"/>
        <v>96436.760000000009</v>
      </c>
      <c r="J553" s="89">
        <f t="shared" si="45"/>
        <v>1121370.74</v>
      </c>
      <c r="K553" s="89">
        <f t="shared" si="45"/>
        <v>24086302.900000002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148580.6</v>
      </c>
      <c r="G563" s="18">
        <v>42806.93</v>
      </c>
      <c r="H563" s="18">
        <v>764.76</v>
      </c>
      <c r="I563" s="18">
        <v>239.45</v>
      </c>
      <c r="J563" s="18">
        <v>0</v>
      </c>
      <c r="K563" s="18"/>
      <c r="L563" s="88">
        <f>SUM(F563:K563)</f>
        <v>192391.74000000002</v>
      </c>
      <c r="M563" s="8"/>
      <c r="N563" s="264"/>
    </row>
    <row r="564" spans="1:14" s="3" customFormat="1" ht="12.2" customHeight="1" x14ac:dyDescent="0.15">
      <c r="A564" s="22" t="s">
        <v>634</v>
      </c>
      <c r="B564" s="105">
        <v>22</v>
      </c>
      <c r="C564" s="115">
        <v>6</v>
      </c>
      <c r="D564" s="2" t="s">
        <v>432</v>
      </c>
      <c r="E564" s="115"/>
      <c r="F564" s="18">
        <v>89224.46</v>
      </c>
      <c r="G564" s="18">
        <v>25706.09</v>
      </c>
      <c r="H564" s="18">
        <v>459.24</v>
      </c>
      <c r="I564" s="18">
        <v>143.80000000000001</v>
      </c>
      <c r="J564" s="18">
        <v>0</v>
      </c>
      <c r="K564" s="18"/>
      <c r="L564" s="88">
        <f>SUM(F564:K564)</f>
        <v>115533.59000000001</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7">SUM(F563:F565)</f>
        <v>237805.06</v>
      </c>
      <c r="G566" s="89">
        <f t="shared" si="47"/>
        <v>68513.02</v>
      </c>
      <c r="H566" s="89">
        <f t="shared" si="47"/>
        <v>1224</v>
      </c>
      <c r="I566" s="89">
        <f t="shared" si="47"/>
        <v>383.25</v>
      </c>
      <c r="J566" s="89">
        <f t="shared" si="47"/>
        <v>0</v>
      </c>
      <c r="K566" s="89">
        <f t="shared" si="47"/>
        <v>0</v>
      </c>
      <c r="L566" s="89">
        <f t="shared" si="47"/>
        <v>307925.33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356032</v>
      </c>
      <c r="G568" s="18">
        <v>171298.35</v>
      </c>
      <c r="H568" s="18"/>
      <c r="I568" s="18"/>
      <c r="J568" s="18"/>
      <c r="K568" s="18"/>
      <c r="L568" s="88">
        <f>SUM(F568:K568)</f>
        <v>527330.35</v>
      </c>
      <c r="M568" s="8"/>
      <c r="N568" s="264"/>
    </row>
    <row r="569" spans="1:14" s="3" customFormat="1" ht="12.2" customHeight="1" x14ac:dyDescent="0.15">
      <c r="A569" s="22" t="s">
        <v>634</v>
      </c>
      <c r="B569" s="105">
        <v>22</v>
      </c>
      <c r="C569" s="105">
        <v>10</v>
      </c>
      <c r="D569" s="2" t="s">
        <v>432</v>
      </c>
      <c r="E569" s="105"/>
      <c r="F569" s="18">
        <v>282232</v>
      </c>
      <c r="G569" s="18">
        <v>167981.32</v>
      </c>
      <c r="H569" s="18"/>
      <c r="I569" s="18"/>
      <c r="J569" s="18"/>
      <c r="K569" s="18"/>
      <c r="L569" s="88">
        <f>SUM(F569:K569)</f>
        <v>450213.32</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638264</v>
      </c>
      <c r="G571" s="193">
        <f t="shared" ref="G571:L571" si="48">SUM(G568:G570)</f>
        <v>339279.67000000004</v>
      </c>
      <c r="H571" s="193">
        <f t="shared" si="48"/>
        <v>0</v>
      </c>
      <c r="I571" s="193">
        <f t="shared" si="48"/>
        <v>0</v>
      </c>
      <c r="J571" s="193">
        <f t="shared" si="48"/>
        <v>0</v>
      </c>
      <c r="K571" s="193">
        <f t="shared" si="48"/>
        <v>0</v>
      </c>
      <c r="L571" s="193">
        <f t="shared" si="48"/>
        <v>977543.66999999993</v>
      </c>
      <c r="M571" s="8"/>
      <c r="N571" s="264"/>
    </row>
    <row r="572" spans="1:14" s="3" customFormat="1" ht="12.2" customHeight="1" thickTop="1" x14ac:dyDescent="0.15">
      <c r="A572" s="98" t="s">
        <v>88</v>
      </c>
      <c r="B572" s="107">
        <v>22</v>
      </c>
      <c r="C572" s="107">
        <v>13</v>
      </c>
      <c r="D572" s="158" t="s">
        <v>432</v>
      </c>
      <c r="E572" s="107"/>
      <c r="F572" s="89">
        <f>F561+F566+F571</f>
        <v>876069.06</v>
      </c>
      <c r="G572" s="89">
        <f t="shared" ref="G572:L572" si="49">G561+G566+G571</f>
        <v>407792.69000000006</v>
      </c>
      <c r="H572" s="89">
        <f t="shared" si="49"/>
        <v>1224</v>
      </c>
      <c r="I572" s="89">
        <f t="shared" si="49"/>
        <v>383.25</v>
      </c>
      <c r="J572" s="89">
        <f t="shared" si="49"/>
        <v>0</v>
      </c>
      <c r="K572" s="89">
        <f t="shared" si="49"/>
        <v>0</v>
      </c>
      <c r="L572" s="89">
        <f t="shared" si="49"/>
        <v>1285469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0">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21382113.09</v>
      </c>
      <c r="I578" s="87">
        <f t="shared" si="50"/>
        <v>21382113.09</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0"/>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50"/>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0"/>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4512939.4400000004</v>
      </c>
      <c r="I582" s="87">
        <f t="shared" si="50"/>
        <v>4512939.4400000004</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879818.4</v>
      </c>
      <c r="G583" s="18">
        <v>285769.64</v>
      </c>
      <c r="H583" s="18">
        <v>1846283.57</v>
      </c>
      <c r="I583" s="87">
        <f t="shared" si="50"/>
        <v>3011871.6100000003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0"/>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50"/>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0"/>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0"/>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0"/>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1103899.8930640002</v>
      </c>
      <c r="I592" s="18">
        <v>819699.41693599988</v>
      </c>
      <c r="J592" s="18">
        <v>617375.93000000005</v>
      </c>
      <c r="K592" s="104">
        <f t="shared" ref="K592:K598" si="51">SUM(H592:J592)</f>
        <v>2540975.2400000002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283275.64</v>
      </c>
      <c r="I593" s="18">
        <v>169997.84</v>
      </c>
      <c r="J593" s="18">
        <v>169997.84</v>
      </c>
      <c r="K593" s="104">
        <f t="shared" si="51"/>
        <v>623271.31999999995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51"/>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2253.4</v>
      </c>
      <c r="J595" s="18"/>
      <c r="K595" s="104">
        <f t="shared" si="51"/>
        <v>2253.4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674.78399999999999</v>
      </c>
      <c r="I596" s="18">
        <v>405.21599999999995</v>
      </c>
      <c r="J596" s="18"/>
      <c r="K596" s="104">
        <f t="shared" si="51"/>
        <v>1080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1"/>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25931.799168000001</v>
      </c>
      <c r="I598" s="18">
        <v>15572.360832</v>
      </c>
      <c r="J598" s="18"/>
      <c r="K598" s="104">
        <f t="shared" si="51"/>
        <v>41504.160000000003</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1413782.1162320003</v>
      </c>
      <c r="I599" s="108">
        <f>SUM(I592:I598)</f>
        <v>1007928.2337679999</v>
      </c>
      <c r="J599" s="108">
        <f>SUM(J592:J598)</f>
        <v>787373.77</v>
      </c>
      <c r="K599" s="108">
        <f>SUM(K592:K598)</f>
        <v>3209084.12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69807.55+415062.62+337.38+8277.45</f>
        <v>493485</v>
      </c>
      <c r="I605" s="18">
        <f>43067.51+263320.71+202.6</f>
        <v>306590.82</v>
      </c>
      <c r="J605" s="18">
        <f>0+371021.29</f>
        <v>371021.29</v>
      </c>
      <c r="K605" s="104">
        <f>SUM(H605:J605)</f>
        <v>1171097.1100000001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493485</v>
      </c>
      <c r="I606" s="108">
        <f>SUM(I603:I605)</f>
        <v>306590.82</v>
      </c>
      <c r="J606" s="108">
        <f>SUM(J603:J605)</f>
        <v>371021.29</v>
      </c>
      <c r="K606" s="108">
        <f>SUM(K603:K605)</f>
        <v>1171097.1100000001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2">SUM(F612:F614)</f>
        <v>0</v>
      </c>
      <c r="G615" s="108">
        <f t="shared" si="52"/>
        <v>0</v>
      </c>
      <c r="H615" s="108">
        <f t="shared" si="52"/>
        <v>0</v>
      </c>
      <c r="I615" s="108">
        <f t="shared" si="52"/>
        <v>0</v>
      </c>
      <c r="J615" s="108">
        <f t="shared" si="52"/>
        <v>0</v>
      </c>
      <c r="K615" s="108">
        <f t="shared" si="52"/>
        <v>0</v>
      </c>
      <c r="L615" s="89">
        <f t="shared" si="52"/>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8702745.2700000014</v>
      </c>
      <c r="H618" s="109">
        <f>SUM(F52)</f>
        <v>8702745.2699999996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80911.139999999985</v>
      </c>
      <c r="H619" s="109">
        <f>SUM(G52)</f>
        <v>80911.14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177348.27999999991</v>
      </c>
      <c r="H620" s="109">
        <f>SUM(H52)</f>
        <v>177348.28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196628.76</v>
      </c>
      <c r="H622" s="109">
        <f>SUM(J52)</f>
        <v>196628.76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7988156.9800000004</v>
      </c>
      <c r="H623" s="109">
        <f>F477</f>
        <v>7988156.9799999893</v>
      </c>
      <c r="I623" s="121" t="s">
        <v>101</v>
      </c>
      <c r="J623" s="109">
        <f t="shared" ref="J623:J656" si="53">G623-H623</f>
        <v>1.1175870895385742E-8</v>
      </c>
      <c r="K623" s="109"/>
      <c r="L623" s="109"/>
      <c r="M623" s="8"/>
    </row>
    <row r="624" spans="1:14" s="3" customFormat="1" ht="12.2" customHeight="1" x14ac:dyDescent="0.15">
      <c r="A624" s="97"/>
      <c r="B624" s="105"/>
      <c r="C624" s="119"/>
      <c r="D624" s="119"/>
      <c r="E624" s="119"/>
      <c r="F624" s="119" t="s">
        <v>866</v>
      </c>
      <c r="G624" s="109">
        <f>G51</f>
        <v>24742.549999999996</v>
      </c>
      <c r="H624" s="109">
        <f>G477</f>
        <v>24742.550000000047</v>
      </c>
      <c r="I624" s="121" t="s">
        <v>102</v>
      </c>
      <c r="J624" s="109">
        <f t="shared" si="53"/>
        <v>-5.0931703299283981E-11</v>
      </c>
      <c r="K624" s="109"/>
      <c r="L624" s="109"/>
      <c r="M624" s="8"/>
    </row>
    <row r="625" spans="1:13" s="3" customFormat="1" ht="12.2" customHeight="1" x14ac:dyDescent="0.15">
      <c r="A625" s="97"/>
      <c r="B625" s="105"/>
      <c r="C625" s="105"/>
      <c r="D625" s="105"/>
      <c r="E625" s="105"/>
      <c r="F625" s="120" t="s">
        <v>867</v>
      </c>
      <c r="G625" s="109">
        <f>H51</f>
        <v>48038.5</v>
      </c>
      <c r="H625" s="109">
        <f>H477</f>
        <v>48038.5</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196628.76</v>
      </c>
      <c r="H627" s="109">
        <f>J477</f>
        <v>196628.76</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89253090.530000001</v>
      </c>
      <c r="H628" s="104">
        <f>SUM(F469)</f>
        <v>89253090.530000001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1362116.57</v>
      </c>
      <c r="H629" s="104">
        <f>SUM(G469)</f>
        <v>1362116.57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4690584.1099999994</v>
      </c>
      <c r="H630" s="104">
        <f>SUM(H469)</f>
        <v>4690584.1099999994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2291.98</v>
      </c>
      <c r="H632" s="104">
        <f>SUM(J469)</f>
        <v>2291.98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84305685.430000007</v>
      </c>
      <c r="H633" s="104">
        <f>SUM(F473)</f>
        <v>84305685.430000007</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6949501.7600000007</v>
      </c>
      <c r="H634" s="104">
        <f>SUM(H473)</f>
        <v>6949501.7599999998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481804.43</v>
      </c>
      <c r="H635" s="104">
        <f>I370</f>
        <v>481804.43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1339328.21</v>
      </c>
      <c r="H636" s="104">
        <f>SUM(G473)</f>
        <v>1339328.21</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2291.98</v>
      </c>
      <c r="H638" s="164">
        <f>SUM(J469)</f>
        <v>2291.98</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196628.76</v>
      </c>
      <c r="H640" s="104">
        <f>SUM(F462)</f>
        <v>196628.76</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196628.76</v>
      </c>
      <c r="H643" s="104">
        <f>SUM(I462)</f>
        <v>196628.76</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2291.98</v>
      </c>
      <c r="H645" s="104">
        <f>H409</f>
        <v>2291.98</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2291.98</v>
      </c>
      <c r="H647" s="104">
        <f>L409</f>
        <v>2291.98</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3209084.12</v>
      </c>
      <c r="H648" s="104">
        <f>L209+L227+L245</f>
        <v>3209084.12</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1171097.1100000001</v>
      </c>
      <c r="H649" s="104">
        <f>(J258+J339)-(J256+J337)</f>
        <v>1171097.1100000001</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1413782.12</v>
      </c>
      <c r="H650" s="104">
        <f>H599</f>
        <v>1413782.1162320003</v>
      </c>
      <c r="I650" s="140" t="s">
        <v>388</v>
      </c>
      <c r="J650" s="109">
        <f t="shared" si="53"/>
        <v>3.7679998204112053E-3</v>
      </c>
      <c r="K650" s="85"/>
      <c r="L650" s="88"/>
      <c r="M650" s="8"/>
    </row>
    <row r="651" spans="1:13" s="3" customFormat="1" ht="12.2" customHeight="1" x14ac:dyDescent="0.15">
      <c r="A651" s="22"/>
      <c r="B651" s="105"/>
      <c r="C651" s="105"/>
      <c r="D651" s="105"/>
      <c r="E651" s="105"/>
      <c r="F651" s="120" t="s">
        <v>392</v>
      </c>
      <c r="G651" s="109">
        <f>L227</f>
        <v>1007928.23</v>
      </c>
      <c r="H651" s="104">
        <f>I599</f>
        <v>1007928.2337679999</v>
      </c>
      <c r="I651" s="140" t="s">
        <v>389</v>
      </c>
      <c r="J651" s="109">
        <f t="shared" si="53"/>
        <v>-3.7679999368265271E-3</v>
      </c>
      <c r="K651" s="85"/>
      <c r="L651" s="88"/>
      <c r="M651" s="8"/>
    </row>
    <row r="652" spans="1:13" s="3" customFormat="1" ht="12.2" customHeight="1" x14ac:dyDescent="0.15">
      <c r="A652" s="22"/>
      <c r="B652" s="105"/>
      <c r="C652" s="105"/>
      <c r="D652" s="105"/>
      <c r="E652" s="105"/>
      <c r="F652" s="120" t="s">
        <v>393</v>
      </c>
      <c r="G652" s="109">
        <f>L245</f>
        <v>787373.77</v>
      </c>
      <c r="H652" s="104">
        <f>J599</f>
        <v>787373.77</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38583199.350288004</v>
      </c>
      <c r="G661" s="19">
        <f>(L230+L310+L360)</f>
        <v>21837276.879712</v>
      </c>
      <c r="H661" s="19">
        <f>(L248+L329+L361)</f>
        <v>29891174.77</v>
      </c>
      <c r="I661" s="19">
        <f>SUM(F661:H661)</f>
        <v>90311651</v>
      </c>
      <c r="J661" s="13"/>
      <c r="K661" s="13"/>
      <c r="L661" s="13"/>
      <c r="M661" s="9"/>
    </row>
    <row r="662" spans="1:13" s="3" customFormat="1" ht="12.2" customHeight="1" x14ac:dyDescent="0.2">
      <c r="A662" s="1" t="s">
        <v>127</v>
      </c>
      <c r="F662" s="19">
        <f>(L359/IF(SUM(L359:L361)=0,1,SUM(L359:L361))*(SUM(G97:G110)))</f>
        <v>23512.757704466065</v>
      </c>
      <c r="G662" s="19">
        <f>(L360/IF(SUM(L359:L361)=0,1,SUM(L359:L361))*(SUM(G97:G110)))</f>
        <v>14086.682295533941</v>
      </c>
      <c r="H662" s="19">
        <f>(L361/IF(SUM(L359:L361)=0,1,SUM(L359:L361))*(SUM(G97:G110)))</f>
        <v>0</v>
      </c>
      <c r="I662" s="19">
        <f>SUM(F662:H662)</f>
        <v>37599.440000000002</v>
      </c>
      <c r="J662"/>
      <c r="K662" s="13"/>
      <c r="L662" s="13"/>
      <c r="M662" s="8"/>
    </row>
    <row r="663" spans="1:13" s="3" customFormat="1" ht="12.2" customHeight="1" x14ac:dyDescent="0.2">
      <c r="A663" s="1" t="s">
        <v>128</v>
      </c>
      <c r="F663" s="19">
        <f>(L209+L288)-(J209+J288)</f>
        <v>1594067.1300000001</v>
      </c>
      <c r="G663" s="19">
        <f>(L227+L307)-(J227+J307)</f>
        <v>1132629.8400000001</v>
      </c>
      <c r="H663" s="19">
        <f>(L245+L326)-(J245+J326)</f>
        <v>858006.04</v>
      </c>
      <c r="I663" s="19">
        <f>SUM(F663:H663)</f>
        <v>3584703.0100000002</v>
      </c>
      <c r="J663"/>
      <c r="K663" s="13"/>
      <c r="L663" s="13"/>
      <c r="M663" s="9"/>
    </row>
    <row r="664" spans="1:13" s="3" customFormat="1" ht="12.2" customHeight="1" x14ac:dyDescent="0.15">
      <c r="A664" s="198" t="s">
        <v>129</v>
      </c>
      <c r="B664" s="169"/>
      <c r="C664" s="169"/>
      <c r="D664" s="169"/>
      <c r="E664" s="169"/>
      <c r="F664" s="199">
        <f>SUM(F576:F588)+SUM(H603:H605)+SUM(L612)</f>
        <v>1373303.4</v>
      </c>
      <c r="G664" s="199">
        <f>SUM(G576:G588)+SUM(I603:I605)+L613</f>
        <v>592360.46</v>
      </c>
      <c r="H664" s="199">
        <f>SUM(H576:H588)+SUM(J603:J605)+L614</f>
        <v>28112357.390000001</v>
      </c>
      <c r="I664" s="19">
        <f>SUM(F664:H664)</f>
        <v>30078021.25</v>
      </c>
      <c r="J664" s="13"/>
      <c r="K664" s="13"/>
      <c r="L664" s="13"/>
      <c r="M664" s="9"/>
    </row>
    <row r="665" spans="1:13" s="3" customFormat="1" ht="12.2" customHeight="1" x14ac:dyDescent="0.15">
      <c r="A665" s="1" t="s">
        <v>130</v>
      </c>
      <c r="F665" s="19">
        <f>F661-SUM(F662:F664)</f>
        <v>35592316.062583536</v>
      </c>
      <c r="G665" s="19">
        <f>G661-SUM(G662:G664)</f>
        <v>20098199.897416465</v>
      </c>
      <c r="H665" s="19">
        <f>H661-SUM(H662:H664)</f>
        <v>920811.33999999985</v>
      </c>
      <c r="I665" s="19">
        <f>I661-SUM(I662:I664)</f>
        <v>56611327.299999997</v>
      </c>
      <c r="J665" s="13"/>
      <c r="K665" s="13"/>
      <c r="L665" s="13"/>
      <c r="M665" s="8"/>
    </row>
    <row r="666" spans="1:13" s="3" customFormat="1" ht="12.2" customHeight="1" x14ac:dyDescent="0.25">
      <c r="A666" s="1" t="s">
        <v>131</v>
      </c>
      <c r="F666" s="391">
        <v>1923.55</v>
      </c>
      <c r="G666" s="391">
        <v>1137.67</v>
      </c>
      <c r="H666" s="391">
        <v>0</v>
      </c>
      <c r="I666" s="19">
        <f>SUM(F666:H666)</f>
        <v>3061.2200000000003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18503.45</v>
      </c>
      <c r="G668" s="19">
        <f>ROUND(G665/G666,2)</f>
        <v>17666.11</v>
      </c>
      <c r="H668" s="19" t="e">
        <f>ROUND(H665/H666,2)</f>
        <v>#DIV/0!</v>
      </c>
      <c r="I668" s="19">
        <f>ROUND(I665/I666,2)</f>
        <v>18493.060000000001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-920811.34</v>
      </c>
      <c r="I670" s="19">
        <f>SUM(F670:H670)</f>
        <v>-920811.34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18503.45</v>
      </c>
      <c r="G673" s="19">
        <f>ROUND((G665+G670)/(G666+G671),2)</f>
        <v>17666.11</v>
      </c>
      <c r="H673" s="19" t="e">
        <f>ROUND((H665+H670)/(H666+H671),2)</f>
        <v>#DIV/0!</v>
      </c>
      <c r="I673" s="19">
        <f>ROUND((I665+I670)/(I666+I671),2)</f>
        <v>18192.259999999998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684154.49</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1998990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2683147.51-E30</f>
        <v>1993577.94</v>
      </c>
      <c r="F22" s="346"/>
    </row>
    <row r="23" spans="2:8" x14ac:dyDescent="0.25">
      <c r="B23" s="346"/>
      <c r="C23" s="346"/>
      <c r="D23" s="346"/>
      <c r="E23" s="346"/>
      <c r="F23" s="346"/>
    </row>
    <row r="24" spans="2:8" ht="26.25" customHeight="1" x14ac:dyDescent="0.25">
      <c r="B24" s="346"/>
      <c r="C24" s="348" t="s">
        <v>1661</v>
      </c>
      <c r="D24" s="346"/>
      <c r="E24" s="341">
        <v>472055.17</v>
      </c>
      <c r="F24" s="346"/>
    </row>
    <row r="25" spans="2:8" ht="18" x14ac:dyDescent="0.25">
      <c r="B25" s="346"/>
      <c r="C25" s="349"/>
      <c r="D25" s="346"/>
      <c r="E25" s="346"/>
      <c r="F25" s="346"/>
    </row>
    <row r="26" spans="2:8" ht="27.75" customHeight="1" x14ac:dyDescent="0.25">
      <c r="B26" s="346"/>
      <c r="C26" s="348" t="s">
        <v>1662</v>
      </c>
      <c r="D26" s="346"/>
      <c r="E26" s="341">
        <v>1175815.8400000001</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689569.57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Derry Cooperative School District</v>
      </c>
      <c r="C5" s="362"/>
      <c r="D5" s="362"/>
      <c r="E5" s="362"/>
      <c r="F5" s="362"/>
    </row>
    <row r="8" spans="1:9" ht="18" x14ac:dyDescent="0.25">
      <c r="A8" s="317" t="s">
        <v>1576</v>
      </c>
      <c r="F8" s="324" t="s">
        <v>1594</v>
      </c>
    </row>
    <row r="9" spans="1:9" ht="15" x14ac:dyDescent="0.2">
      <c r="A9" s="315" t="s">
        <v>1577</v>
      </c>
      <c r="B9" s="318">
        <f>'DOE25'!G97</f>
        <v>33541.19</v>
      </c>
      <c r="F9" s="315" t="s">
        <v>1590</v>
      </c>
    </row>
    <row r="10" spans="1:9" ht="15" x14ac:dyDescent="0.2">
      <c r="A10" s="315" t="s">
        <v>1578</v>
      </c>
      <c r="B10" s="318">
        <f>'DOE25'!G112-'DOE25'!G97</f>
        <v>4058.25</v>
      </c>
      <c r="F10" s="315" t="s">
        <v>1591</v>
      </c>
    </row>
    <row r="11" spans="1:9" ht="15" x14ac:dyDescent="0.2">
      <c r="A11" s="315" t="s">
        <v>1579</v>
      </c>
      <c r="B11" s="318">
        <f>'DOE25'!G140</f>
        <v>32891.919999999998</v>
      </c>
      <c r="F11" s="315" t="s">
        <v>1592</v>
      </c>
    </row>
    <row r="12" spans="1:9" ht="15" x14ac:dyDescent="0.2">
      <c r="A12" s="315" t="s">
        <v>1580</v>
      </c>
      <c r="B12" s="318">
        <f>'DOE25'!G170</f>
        <v>1291625.21</v>
      </c>
      <c r="F12" s="315" t="s">
        <v>1593</v>
      </c>
    </row>
    <row r="13" spans="1:9" ht="15" x14ac:dyDescent="0.2">
      <c r="A13" s="315" t="s">
        <v>1581</v>
      </c>
      <c r="B13" s="318">
        <f>'DOE25'!G193-'DOE25'!G180</f>
        <v>0</v>
      </c>
      <c r="F13" s="315" t="s">
        <v>1603</v>
      </c>
    </row>
    <row r="14" spans="1:9" ht="18" x14ac:dyDescent="0.25">
      <c r="A14" s="317" t="s">
        <v>732</v>
      </c>
      <c r="B14" s="319">
        <f>SUM(B9:B13)</f>
        <v>1362116.57</v>
      </c>
    </row>
    <row r="16" spans="1:9" ht="18" x14ac:dyDescent="0.25">
      <c r="A16" s="317" t="s">
        <v>786</v>
      </c>
      <c r="F16" s="324" t="s">
        <v>1595</v>
      </c>
    </row>
    <row r="17" spans="1:6" ht="15" x14ac:dyDescent="0.2">
      <c r="A17" s="315" t="s">
        <v>1582</v>
      </c>
      <c r="B17" s="318">
        <f>'DOE25'!L363-'DOE25'!L362</f>
        <v>1339328.21</v>
      </c>
      <c r="F17" s="315" t="s">
        <v>1596</v>
      </c>
    </row>
    <row r="18" spans="1:6" ht="15" x14ac:dyDescent="0.2">
      <c r="A18" s="315" t="s">
        <v>1583</v>
      </c>
      <c r="B18" s="328">
        <v>0</v>
      </c>
      <c r="F18" s="324" t="s">
        <v>1620</v>
      </c>
    </row>
    <row r="19" spans="1:6" ht="18" x14ac:dyDescent="0.25">
      <c r="A19" s="317" t="s">
        <v>725</v>
      </c>
      <c r="B19" s="319">
        <f>SUM(B17:B18)</f>
        <v>1339328.21</v>
      </c>
    </row>
    <row r="21" spans="1:6" ht="18.75" thickBot="1" x14ac:dyDescent="0.3">
      <c r="A21" s="317" t="s">
        <v>1584</v>
      </c>
    </row>
    <row r="22" spans="1:6" ht="18.75" thickTop="1" x14ac:dyDescent="0.25">
      <c r="A22" s="317" t="s">
        <v>1585</v>
      </c>
      <c r="B22" s="323">
        <f>B14-B19</f>
        <v>22788.360000000102</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1954.19</v>
      </c>
      <c r="F31" s="315" t="s">
        <v>1600</v>
      </c>
    </row>
    <row r="33" spans="1:6" ht="15" x14ac:dyDescent="0.2">
      <c r="A33" s="315" t="s">
        <v>1629</v>
      </c>
      <c r="B33" s="318">
        <f>'DOE25'!G477</f>
        <v>24742.550000000047</v>
      </c>
      <c r="F33" s="315" t="s">
        <v>1601</v>
      </c>
    </row>
    <row r="36" spans="1:6" ht="15" x14ac:dyDescent="0.2">
      <c r="A36" s="315" t="s">
        <v>1587</v>
      </c>
      <c r="B36" s="329">
        <v>119720.21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28" sqref="I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Derry Cooperative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13347306.550000001</v>
      </c>
      <c r="C9" s="229">
        <f>'DOE25'!G198+'DOE25'!G216+'DOE25'!G234+'DOE25'!G277+'DOE25'!G296+'DOE25'!G315</f>
        <v>8196562.8099999996</v>
      </c>
    </row>
    <row r="10" spans="1:3" x14ac:dyDescent="0.2">
      <c r="A10" t="s">
        <v>775</v>
      </c>
      <c r="B10" s="240">
        <v>12379065.779999999</v>
      </c>
      <c r="C10" s="240">
        <v>7601967.4800000004</v>
      </c>
    </row>
    <row r="11" spans="1:3" x14ac:dyDescent="0.2">
      <c r="A11" t="s">
        <v>776</v>
      </c>
      <c r="B11" s="240">
        <v>956059.27</v>
      </c>
      <c r="C11" s="240">
        <v>593663.44999999995</v>
      </c>
    </row>
    <row r="12" spans="1:3" x14ac:dyDescent="0.2">
      <c r="A12" t="s">
        <v>777</v>
      </c>
      <c r="B12" s="240">
        <v>12181.5</v>
      </c>
      <c r="C12" s="240">
        <v>931.88</v>
      </c>
    </row>
    <row r="13" spans="1:3" x14ac:dyDescent="0.2">
      <c r="A13" t="str">
        <f>IF(B9=B13,IF(C9=C13,"Check Total OK","Check Total Error"),"Check Total Error")</f>
        <v>Check Total OK</v>
      </c>
      <c r="B13" s="231">
        <f>SUM(B10:B12)</f>
        <v>13347306.549999999</v>
      </c>
      <c r="C13" s="231">
        <f>SUM(C10:C12)</f>
        <v>8196562.8100000005</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6763103.6999999993</v>
      </c>
      <c r="C18" s="229">
        <f>'DOE25'!G199+'DOE25'!G217+'DOE25'!G235+'DOE25'!G278+'DOE25'!G297+'DOE25'!G316</f>
        <v>3202184.5199999996</v>
      </c>
    </row>
    <row r="19" spans="1:3" x14ac:dyDescent="0.2">
      <c r="A19" t="s">
        <v>775</v>
      </c>
      <c r="B19" s="240">
        <v>4688634.3099999996</v>
      </c>
      <c r="C19" s="240">
        <v>2819764.44</v>
      </c>
    </row>
    <row r="20" spans="1:3" x14ac:dyDescent="0.2">
      <c r="A20" t="s">
        <v>776</v>
      </c>
      <c r="B20" s="240">
        <v>2043919.7</v>
      </c>
      <c r="C20" s="240">
        <v>380083.03</v>
      </c>
    </row>
    <row r="21" spans="1:3" x14ac:dyDescent="0.2">
      <c r="A21" t="s">
        <v>777</v>
      </c>
      <c r="B21" s="240">
        <v>30549.69</v>
      </c>
      <c r="C21" s="240">
        <v>2337.0500000000002</v>
      </c>
    </row>
    <row r="22" spans="1:3" x14ac:dyDescent="0.2">
      <c r="A22" t="str">
        <f>IF(B18=B22,IF(C18=C22,"Check Total OK","Check Total Error"),"Check Total Error")</f>
        <v>Check Total OK</v>
      </c>
      <c r="B22" s="231">
        <f>SUM(B19:B21)</f>
        <v>6763103.7000000002</v>
      </c>
      <c r="C22" s="231">
        <f>SUM(C19:C21)</f>
        <v>3202184.5199999996</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126904.76000000001</v>
      </c>
      <c r="C36" s="235">
        <f>'DOE25'!G201+'DOE25'!G219+'DOE25'!G237+'DOE25'!G280+'DOE25'!G299+'DOE25'!G318</f>
        <v>30377.919999999998</v>
      </c>
    </row>
    <row r="37" spans="1:3" x14ac:dyDescent="0.2">
      <c r="A37" t="s">
        <v>775</v>
      </c>
      <c r="B37" s="240">
        <v>113998.5</v>
      </c>
      <c r="C37" s="240">
        <v>29390.6</v>
      </c>
    </row>
    <row r="38" spans="1:3" x14ac:dyDescent="0.2">
      <c r="A38" t="s">
        <v>776</v>
      </c>
      <c r="B38" s="240"/>
      <c r="C38" s="240"/>
    </row>
    <row r="39" spans="1:3" x14ac:dyDescent="0.2">
      <c r="A39" t="s">
        <v>777</v>
      </c>
      <c r="B39" s="240">
        <v>12906.26</v>
      </c>
      <c r="C39" s="240">
        <v>987.32</v>
      </c>
    </row>
    <row r="40" spans="1:3" x14ac:dyDescent="0.2">
      <c r="A40" t="str">
        <f>IF(B36=B40,IF(C36=C40,"Check Total OK","Check Total Error"),"Check Total Error")</f>
        <v>Check Total OK</v>
      </c>
      <c r="B40" s="231">
        <f>SUM(B37:B39)</f>
        <v>126904.76</v>
      </c>
      <c r="C40" s="231">
        <f>SUM(C37:C39)</f>
        <v>30377.919999999998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H8" sqref="H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Derry Cooperative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59933765.839999996</v>
      </c>
      <c r="D5" s="20">
        <f>SUM('DOE25'!L198:L201)+SUM('DOE25'!L216:L219)+SUM('DOE25'!L234:L237)-F5-G5-H5</f>
        <v>59910175.389999993</v>
      </c>
      <c r="E5" s="243"/>
      <c r="F5" s="244"/>
      <c r="G5" s="53">
        <f>SUM('DOE25'!J198:J201)+SUM('DOE25'!J216:J219)+SUM('DOE25'!J234:J237)</f>
        <v>17605.11</v>
      </c>
      <c r="H5" s="53">
        <f>SUM('DOE25'!K198:K201)+SUM('DOE25'!K216:K219)+SUM('DOE25'!K234:K237)</f>
        <v>5985.34</v>
      </c>
      <c r="I5" s="254"/>
    </row>
    <row r="6" spans="1:9" x14ac:dyDescent="0.2">
      <c r="A6" s="32">
        <v>2100</v>
      </c>
      <c r="B6" t="s">
        <v>796</v>
      </c>
      <c r="C6" s="273">
        <f t="shared" si="0"/>
        <v>6573257.4500000002</v>
      </c>
      <c r="D6" s="20">
        <f>'DOE25'!L203+'DOE25'!L221+'DOE25'!L239-F6-G6-H6</f>
        <v>6573257.4500000002</v>
      </c>
      <c r="E6" s="243"/>
      <c r="F6" s="244"/>
      <c r="G6" s="53">
        <f>'DOE25'!J203+'DOE25'!J221+'DOE25'!J239</f>
        <v>0</v>
      </c>
      <c r="H6" s="53">
        <f>'DOE25'!K203+'DOE25'!K221+'DOE25'!K239</f>
        <v>0</v>
      </c>
      <c r="I6" s="254"/>
    </row>
    <row r="7" spans="1:9" x14ac:dyDescent="0.2">
      <c r="A7" s="32">
        <v>2200</v>
      </c>
      <c r="B7" t="s">
        <v>821</v>
      </c>
      <c r="C7" s="273">
        <f t="shared" si="0"/>
        <v>2084141.8599999999</v>
      </c>
      <c r="D7" s="20">
        <f>'DOE25'!L204+'DOE25'!L222+'DOE25'!L240-F7-G7-H7</f>
        <v>1986547.64</v>
      </c>
      <c r="E7" s="243"/>
      <c r="F7" s="244"/>
      <c r="G7" s="53">
        <f>'DOE25'!J204+'DOE25'!J222+'DOE25'!J240</f>
        <v>96194.22</v>
      </c>
      <c r="H7" s="53">
        <f>'DOE25'!K204+'DOE25'!K222+'DOE25'!K240</f>
        <v>1400</v>
      </c>
      <c r="I7" s="254"/>
    </row>
    <row r="8" spans="1:9" x14ac:dyDescent="0.2">
      <c r="A8" s="32">
        <v>2300</v>
      </c>
      <c r="B8" t="s">
        <v>797</v>
      </c>
      <c r="C8" s="273">
        <f t="shared" si="0"/>
        <v>11620.119999999981</v>
      </c>
      <c r="D8" s="243"/>
      <c r="E8" s="20">
        <f>'DOE25'!L205+'DOE25'!L223+'DOE25'!L241-F8-G8-H8-D9-D11</f>
        <v>-32171.770000000019</v>
      </c>
      <c r="F8" s="244">
        <v>31500</v>
      </c>
      <c r="G8" s="53">
        <f>'DOE25'!J205+'DOE25'!J223+'DOE25'!J241</f>
        <v>0</v>
      </c>
      <c r="H8" s="53">
        <f>'DOE25'!K205+'DOE25'!K223+'DOE25'!K241</f>
        <v>12291.89</v>
      </c>
      <c r="I8" s="254"/>
    </row>
    <row r="9" spans="1:9" ht="14.25" x14ac:dyDescent="0.2">
      <c r="A9" s="32">
        <v>2310</v>
      </c>
      <c r="B9" s="185" t="s">
        <v>888</v>
      </c>
      <c r="C9" s="273">
        <f t="shared" si="0"/>
        <v>17511.66</v>
      </c>
      <c r="D9" s="244">
        <v>17511.66</v>
      </c>
      <c r="E9" s="243"/>
      <c r="F9" s="251"/>
      <c r="G9" s="251"/>
      <c r="H9" s="251"/>
      <c r="I9" s="254"/>
    </row>
    <row r="10" spans="1:9" ht="14.25" x14ac:dyDescent="0.2">
      <c r="A10" s="32">
        <v>2317</v>
      </c>
      <c r="B10" s="185" t="s">
        <v>889</v>
      </c>
      <c r="C10" s="273">
        <f t="shared" si="0"/>
        <v>31500</v>
      </c>
      <c r="D10" s="243"/>
      <c r="E10" s="244">
        <v>31500</v>
      </c>
      <c r="F10" s="251"/>
      <c r="G10" s="251"/>
      <c r="H10" s="251"/>
      <c r="I10" s="254"/>
    </row>
    <row r="11" spans="1:9" ht="14.25" x14ac:dyDescent="0.2">
      <c r="A11" s="32">
        <v>2321</v>
      </c>
      <c r="B11" s="185" t="s">
        <v>890</v>
      </c>
      <c r="C11" s="273">
        <f t="shared" si="0"/>
        <v>1002242.29</v>
      </c>
      <c r="D11" s="244">
        <v>1002242.29</v>
      </c>
      <c r="E11" s="243"/>
      <c r="F11" s="251"/>
      <c r="G11" s="251"/>
      <c r="H11" s="251"/>
      <c r="I11" s="254"/>
    </row>
    <row r="12" spans="1:9" x14ac:dyDescent="0.2">
      <c r="A12" s="32">
        <v>2400</v>
      </c>
      <c r="B12" t="s">
        <v>711</v>
      </c>
      <c r="C12" s="273">
        <f t="shared" si="0"/>
        <v>3571991.47</v>
      </c>
      <c r="D12" s="20">
        <f>'DOE25'!L206+'DOE25'!L224+'DOE25'!L242-F12-G12-H12</f>
        <v>3560574.1500000004</v>
      </c>
      <c r="E12" s="243"/>
      <c r="F12" s="244"/>
      <c r="G12" s="53">
        <f>'DOE25'!J206+'DOE25'!J224+'DOE25'!J242</f>
        <v>1078.3200000000002</v>
      </c>
      <c r="H12" s="53">
        <f>'DOE25'!K206+'DOE25'!K224+'DOE25'!K242</f>
        <v>10339</v>
      </c>
      <c r="I12" s="254"/>
    </row>
    <row r="13" spans="1:9" x14ac:dyDescent="0.2">
      <c r="A13" s="32">
        <v>2500</v>
      </c>
      <c r="B13" t="s">
        <v>798</v>
      </c>
      <c r="C13" s="273">
        <f t="shared" si="0"/>
        <v>643090</v>
      </c>
      <c r="D13" s="243"/>
      <c r="E13" s="20">
        <f>'DOE25'!L207+'DOE25'!L225+'DOE25'!L243-F13-G13-H13</f>
        <v>641405.06000000006</v>
      </c>
      <c r="F13" s="244"/>
      <c r="G13" s="53">
        <f>'DOE25'!J207+'DOE25'!J225+'DOE25'!J243</f>
        <v>0</v>
      </c>
      <c r="H13" s="53">
        <f>'DOE25'!K207+'DOE25'!K225+'DOE25'!K243</f>
        <v>1684.94</v>
      </c>
      <c r="I13" s="254"/>
    </row>
    <row r="14" spans="1:9" x14ac:dyDescent="0.2">
      <c r="A14" s="32">
        <v>2600</v>
      </c>
      <c r="B14" t="s">
        <v>819</v>
      </c>
      <c r="C14" s="273">
        <f t="shared" si="0"/>
        <v>5037424.93</v>
      </c>
      <c r="D14" s="20">
        <f>'DOE25'!L208+'DOE25'!L226+'DOE25'!L244-F14-G14-H14</f>
        <v>5037424.93</v>
      </c>
      <c r="E14" s="243"/>
      <c r="F14" s="244"/>
      <c r="G14" s="53">
        <f>'DOE25'!J208+'DOE25'!J226+'DOE25'!J244</f>
        <v>0</v>
      </c>
      <c r="H14" s="53">
        <f>'DOE25'!K208+'DOE25'!K226+'DOE25'!K244</f>
        <v>0</v>
      </c>
      <c r="I14" s="254"/>
    </row>
    <row r="15" spans="1:9" x14ac:dyDescent="0.2">
      <c r="A15" s="32">
        <v>2700</v>
      </c>
      <c r="B15" t="s">
        <v>799</v>
      </c>
      <c r="C15" s="273">
        <f t="shared" si="0"/>
        <v>3209084.12</v>
      </c>
      <c r="D15" s="20">
        <f>'DOE25'!L209+'DOE25'!L227+'DOE25'!L245-F15-G15-H15</f>
        <v>25000</v>
      </c>
      <c r="E15" s="243"/>
      <c r="F15" s="244">
        <v>3184084.12</v>
      </c>
      <c r="G15" s="53">
        <f>'DOE25'!J209+'DOE25'!J227+'DOE25'!J245</f>
        <v>0</v>
      </c>
      <c r="H15" s="53">
        <f>'DOE25'!K209+'DOE25'!K227+'DOE25'!K245</f>
        <v>0</v>
      </c>
      <c r="I15" s="254"/>
    </row>
    <row r="16" spans="1:9" x14ac:dyDescent="0.2">
      <c r="A16" s="32">
        <v>2800</v>
      </c>
      <c r="B16" t="s">
        <v>800</v>
      </c>
      <c r="C16" s="273">
        <f t="shared" si="0"/>
        <v>37677.5</v>
      </c>
      <c r="D16" s="243"/>
      <c r="E16" s="20">
        <f>'DOE25'!L210+'DOE25'!L228+'DOE25'!L246-F16-G16-H16</f>
        <v>37677.5</v>
      </c>
      <c r="F16" s="244"/>
      <c r="G16" s="53">
        <f>'DOE25'!J210+'DOE25'!J228+'DOE25'!J246</f>
        <v>0</v>
      </c>
      <c r="H16" s="53">
        <f>'DOE25'!K210+'DOE25'!K228+'DOE25'!K246</f>
        <v>0</v>
      </c>
      <c r="I16" s="254"/>
    </row>
    <row r="17" spans="1:9" x14ac:dyDescent="0.2">
      <c r="A17" s="32">
        <v>1600</v>
      </c>
      <c r="B17" t="s">
        <v>801</v>
      </c>
      <c r="C17" s="273">
        <f t="shared" si="0"/>
        <v>49749.390000000007</v>
      </c>
      <c r="D17" s="20">
        <f>'DOE25'!L252-F17-G17-H17</f>
        <v>49749.390000000007</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2134128.8000000003</v>
      </c>
      <c r="D25" s="243"/>
      <c r="E25" s="243"/>
      <c r="F25" s="253"/>
      <c r="G25" s="251"/>
      <c r="H25" s="251"/>
      <c r="I25" s="252">
        <f>'DOE25'!L261+'DOE25'!L262+'DOE25'!L342+'DOE25'!L343</f>
        <v>2134128.8000000003</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907120.3899999999</v>
      </c>
      <c r="D29" s="281">
        <f>'DOE25'!L359+'DOE25'!L360+'DOE25'!L361-'DOE25'!I368-F29-G29-H29</f>
        <v>906220.3899999999</v>
      </c>
      <c r="E29" s="243"/>
      <c r="F29" s="244"/>
      <c r="G29" s="53">
        <f>'DOE25'!J359+'DOE25'!J360+'DOE25'!J361</f>
        <v>0</v>
      </c>
      <c r="H29" s="53">
        <f>'DOE25'!K359+'DOE25'!K360+'DOE25'!K361</f>
        <v>900</v>
      </c>
      <c r="I29" s="254"/>
    </row>
    <row r="30" spans="1:9" x14ac:dyDescent="0.2">
      <c r="A30" s="32"/>
      <c r="C30" s="274"/>
      <c r="D30" s="20"/>
      <c r="E30" s="278"/>
      <c r="F30" s="268"/>
      <c r="G30" s="53"/>
      <c r="H30" s="53"/>
      <c r="I30" s="254"/>
    </row>
    <row r="31" spans="1:9" x14ac:dyDescent="0.2">
      <c r="A31" s="32" t="s">
        <v>818</v>
      </c>
      <c r="B31" t="s">
        <v>817</v>
      </c>
      <c r="C31" s="273">
        <f>SUM(D31:I31)</f>
        <v>6949501.7600000007</v>
      </c>
      <c r="D31" s="20">
        <f>'DOE25'!L291+'DOE25'!L310+'DOE25'!L329+'DOE25'!L334+'DOE25'!L335+'DOE25'!L336-F31-G31-H31</f>
        <v>5892723.3000000007</v>
      </c>
      <c r="E31" s="243"/>
      <c r="F31" s="244"/>
      <c r="G31" s="53">
        <f>'DOE25'!J291+'DOE25'!J310+'DOE25'!J329+'DOE25'!J334+'DOE25'!J335+'DOE25'!J336</f>
        <v>1056219.4600000002</v>
      </c>
      <c r="H31" s="53">
        <f>'DOE25'!K291+'DOE25'!K310+'DOE25'!K329+'DOE25'!K334+'DOE25'!K335+'DOE25'!K336</f>
        <v>559</v>
      </c>
      <c r="I31" s="254"/>
    </row>
    <row r="32" spans="1:9" ht="12" thickBot="1" x14ac:dyDescent="0.25">
      <c r="C32" s="274"/>
      <c r="G32" s="249"/>
      <c r="H32" s="249"/>
      <c r="I32" s="256"/>
    </row>
    <row r="33" spans="1:9" ht="12" thickTop="1" x14ac:dyDescent="0.2">
      <c r="B33" t="s">
        <v>809</v>
      </c>
      <c r="D33" s="245">
        <f t="shared" ref="D33:I33" si="1">SUM(D5:D31)</f>
        <v>84961426.589999989</v>
      </c>
      <c r="E33" s="245">
        <f t="shared" si="1"/>
        <v>678410.79</v>
      </c>
      <c r="F33" s="245">
        <f t="shared" si="1"/>
        <v>3215584.12</v>
      </c>
      <c r="G33" s="245">
        <f t="shared" si="1"/>
        <v>1171097.1100000001</v>
      </c>
      <c r="H33" s="245">
        <f t="shared" si="1"/>
        <v>33160.17</v>
      </c>
      <c r="I33" s="245">
        <f t="shared" si="1"/>
        <v>2134128.8000000003</v>
      </c>
    </row>
    <row r="35" spans="1:9" ht="12" thickBot="1" x14ac:dyDescent="0.25">
      <c r="B35" s="249" t="s">
        <v>831</v>
      </c>
      <c r="D35" s="250">
        <f>E33</f>
        <v>678410.79</v>
      </c>
      <c r="E35" s="246"/>
      <c r="F35" s="333" t="s">
        <v>1632</v>
      </c>
      <c r="G35" s="334"/>
      <c r="H35" s="334"/>
      <c r="I35" s="334"/>
    </row>
    <row r="36" spans="1:9" ht="12" thickTop="1" x14ac:dyDescent="0.2">
      <c r="B36" t="s">
        <v>810</v>
      </c>
      <c r="D36" s="20">
        <f>D33</f>
        <v>84961426.589999989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7" sqref="A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Derry Cooperative School District</v>
      </c>
      <c r="B2" s="126">
        <f>'DOE25'!B2</f>
        <v>131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37745652.309999995</v>
      </c>
      <c r="G4" s="300">
        <f>'DOE25'!L212+'DOE25'!L291</f>
        <v>37745652.310000002</v>
      </c>
      <c r="H4" s="353">
        <f>F4-G4</f>
        <v>0</v>
      </c>
      <c r="I4" s="370" t="str">
        <f>IF(H4=0,"","ISSUES!! Please review page 7 and 11 totals in comparison with total on this page")</f>
        <v/>
      </c>
      <c r="N4"/>
    </row>
    <row r="5" spans="1:18" x14ac:dyDescent="0.2">
      <c r="A5" s="21" t="s">
        <v>1005</v>
      </c>
      <c r="B5" s="301">
        <f>IFERROR(VLOOKUP(A5,'School Tables'!$C$3:$D$365,2,FALSE),"")</f>
        <v>20380</v>
      </c>
      <c r="C5" s="294" t="str">
        <f>IFERROR(INDEX('School Tables'!$B$3:$B$365,MATCH('School Level Expenditures'!B5,'School Tables'!$D$3:$D$365,0)),"")</f>
        <v>Derry Cooperative</v>
      </c>
      <c r="D5" s="291">
        <v>6629437.3300000001</v>
      </c>
      <c r="E5" s="291">
        <v>474928.02</v>
      </c>
      <c r="F5" s="304">
        <f>D5+E5</f>
        <v>7104365.3499999996</v>
      </c>
      <c r="G5" s="294"/>
      <c r="H5" s="294"/>
      <c r="I5" s="371"/>
      <c r="N5"/>
    </row>
    <row r="6" spans="1:18" x14ac:dyDescent="0.2">
      <c r="A6" s="21" t="s">
        <v>1004</v>
      </c>
      <c r="B6" s="301">
        <f>IFERROR(VLOOKUP(A6,'School Tables'!$C$3:$D$365,2,FALSE),"")</f>
        <v>20370</v>
      </c>
      <c r="C6" s="294" t="str">
        <f>IFERROR(INDEX('School Tables'!$B$3:$B$365,MATCH('School Level Expenditures'!B6,'School Tables'!$D$3:$D$365,0)),"")</f>
        <v>Derry Cooperative</v>
      </c>
      <c r="D6" s="291">
        <v>5715051.2300000004</v>
      </c>
      <c r="E6" s="291">
        <v>119738.05</v>
      </c>
      <c r="F6" s="304">
        <f t="shared" ref="F6:F20" si="0">D6+E6</f>
        <v>5834789.2800000003</v>
      </c>
      <c r="G6" s="294"/>
      <c r="H6" s="294"/>
      <c r="I6" s="371"/>
      <c r="N6"/>
    </row>
    <row r="7" spans="1:18" x14ac:dyDescent="0.2">
      <c r="A7" s="21" t="s">
        <v>1003</v>
      </c>
      <c r="B7" s="301">
        <f>IFERROR(VLOOKUP(A7,'School Tables'!$C$3:$D$365,2,FALSE),"")</f>
        <v>28465</v>
      </c>
      <c r="C7" s="294" t="str">
        <f>IFERROR(INDEX('School Tables'!$B$3:$B$365,MATCH('School Level Expenditures'!B7,'School Tables'!$D$3:$D$365,0)),"")</f>
        <v>Derry Cooperative</v>
      </c>
      <c r="D7" s="291">
        <v>9974456.0899999999</v>
      </c>
      <c r="E7" s="291">
        <v>98207.79</v>
      </c>
      <c r="F7" s="304">
        <f t="shared" si="0"/>
        <v>10072663.879999999</v>
      </c>
      <c r="G7" s="294"/>
      <c r="H7" s="294"/>
      <c r="I7" s="354"/>
      <c r="N7"/>
    </row>
    <row r="8" spans="1:18" x14ac:dyDescent="0.2">
      <c r="A8" s="21" t="s">
        <v>1006</v>
      </c>
      <c r="B8" s="301">
        <f>IFERROR(VLOOKUP(A8,'School Tables'!$C$3:$D$365,2,FALSE),"")</f>
        <v>20390</v>
      </c>
      <c r="C8" s="294" t="str">
        <f>IFERROR(INDEX('School Tables'!$B$3:$B$365,MATCH('School Level Expenditures'!B8,'School Tables'!$D$3:$D$365,0)),"")</f>
        <v>Derry Cooperative</v>
      </c>
      <c r="D8" s="291">
        <v>5250169.37</v>
      </c>
      <c r="E8" s="291">
        <v>1742924.03</v>
      </c>
      <c r="F8" s="304">
        <f t="shared" si="0"/>
        <v>6993093.4000000004</v>
      </c>
      <c r="G8" s="294"/>
      <c r="H8" s="294"/>
      <c r="I8" s="354"/>
      <c r="N8"/>
    </row>
    <row r="9" spans="1:18" x14ac:dyDescent="0.2">
      <c r="A9" s="21" t="s">
        <v>1007</v>
      </c>
      <c r="B9" s="301">
        <f>IFERROR(VLOOKUP(A9,'School Tables'!$C$3:$D$365,2,FALSE),"")</f>
        <v>20405</v>
      </c>
      <c r="C9" s="294" t="str">
        <f>IFERROR(INDEX('School Tables'!$B$3:$B$365,MATCH('School Level Expenditures'!B9,'School Tables'!$D$3:$D$365,0)),"")</f>
        <v>Derry Cooperative</v>
      </c>
      <c r="D9" s="291">
        <v>5534532.7800000003</v>
      </c>
      <c r="E9" s="291">
        <v>1251592.72</v>
      </c>
      <c r="F9" s="304">
        <f t="shared" si="0"/>
        <v>6786125.5</v>
      </c>
      <c r="G9" s="294"/>
      <c r="H9" s="294"/>
      <c r="I9" s="354"/>
      <c r="N9"/>
    </row>
    <row r="10" spans="1:18" x14ac:dyDescent="0.2">
      <c r="A10" s="21" t="s">
        <v>1562</v>
      </c>
      <c r="B10" s="301">
        <f>IFERROR(VLOOKUP(A10,'School Tables'!$C$3:$D$365,2,FALSE),"")</f>
        <v>29156</v>
      </c>
      <c r="C10" s="294" t="str">
        <f>IFERROR(INDEX('School Tables'!$B$3:$B$365,MATCH('School Level Expenditures'!B10,'School Tables'!$D$3:$D$365,0)),"")</f>
        <v>Derry Cooperative</v>
      </c>
      <c r="D10" s="291">
        <v>925260.27</v>
      </c>
      <c r="E10" s="291">
        <v>29354.63</v>
      </c>
      <c r="F10" s="304">
        <f t="shared" si="0"/>
        <v>954614.9</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34028907.07</v>
      </c>
      <c r="E21" s="351">
        <f>SUM(E5:E20)</f>
        <v>3716745.24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21335495.710000001</v>
      </c>
      <c r="G24" s="300">
        <f>'DOE25'!L230+'DOE25'!L310</f>
        <v>21335495.710000001</v>
      </c>
      <c r="H24" s="353">
        <f>F24-G24</f>
        <v>0</v>
      </c>
      <c r="I24" s="370" t="str">
        <f>IF(H24=0,"","ISSUES!! Please review page 8 and 12 totals in comparison with total on this page")</f>
        <v/>
      </c>
      <c r="N24"/>
    </row>
    <row r="25" spans="1:14" x14ac:dyDescent="0.2">
      <c r="A25" s="21" t="s">
        <v>1008</v>
      </c>
      <c r="B25" s="301">
        <f>IFERROR(VLOOKUP(A25,'School Tables'!$I$3:$J$80,2,FALSE),"")</f>
        <v>20420</v>
      </c>
      <c r="C25" s="294" t="str">
        <f t="array" ref="C25">IFERROR(INDEX('School Tables'!$H$3:$H$80,MATCH('School Level Expenditures'!B25,'School Tables'!$J$3:$J$80,0)),"")</f>
        <v>Derry Cooperative</v>
      </c>
      <c r="D25" s="291">
        <v>9822338.5</v>
      </c>
      <c r="E25" s="291">
        <v>1147648.18</v>
      </c>
      <c r="F25" s="304">
        <f>D25+E25</f>
        <v>10969986.68</v>
      </c>
      <c r="G25" s="294"/>
      <c r="H25" s="294"/>
      <c r="I25" s="371"/>
      <c r="N25"/>
    </row>
    <row r="26" spans="1:14" x14ac:dyDescent="0.2">
      <c r="A26" s="21" t="s">
        <v>1002</v>
      </c>
      <c r="B26" s="301">
        <f>IFERROR(VLOOKUP(A26,'School Tables'!$I$3:$J$80,2,FALSE),"")</f>
        <v>27065</v>
      </c>
      <c r="C26" s="294" t="str">
        <f t="array" ref="C26">IFERROR(INDEX('School Tables'!$H$3:$H$80,MATCH('School Level Expenditures'!B26,'School Tables'!$J$3:$J$80,0)),"")</f>
        <v>Derry Cooperative</v>
      </c>
      <c r="D26" s="291">
        <v>9215734.3699999992</v>
      </c>
      <c r="E26" s="291">
        <v>1149774.6599999999</v>
      </c>
      <c r="F26" s="304">
        <f t="shared" ref="F26:F32" si="1">D26+E26</f>
        <v>10365509.029999999</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19038072.869999997</v>
      </c>
      <c r="E33" s="351">
        <f>SUM(E25:E32)</f>
        <v>2297422.84</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29891174.77</v>
      </c>
      <c r="G36" s="300">
        <f>'DOE25'!L248+'DOE25'!L329</f>
        <v>29891174.77</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29054827.289999999</v>
      </c>
      <c r="E37" s="291">
        <v>836347.48</v>
      </c>
      <c r="F37" s="304">
        <f t="shared" ref="F37:F42" si="2">D37+E37</f>
        <v>29891174.77</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29054827.289999999</v>
      </c>
      <c r="E43" s="352">
        <f>SUM(E37:E42)</f>
        <v>836347.48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17" sqref="C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Derry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6518736.7300000004</v>
      </c>
      <c r="D8" s="95">
        <f>'DOE25'!G9</f>
        <v>925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2023910.89</v>
      </c>
      <c r="D11" s="95">
        <f>'DOE25'!G12</f>
        <v>-201447.95</v>
      </c>
      <c r="E11" s="95">
        <f>'DOE25'!H12</f>
        <v>-1822462.58</v>
      </c>
      <c r="F11" s="95">
        <f>'DOE25'!I12</f>
        <v>0</v>
      </c>
      <c r="G11" s="95">
        <f>'DOE25'!J12</f>
        <v>0</v>
      </c>
      <c r="H11" s="124"/>
      <c r="I11" s="124"/>
    </row>
    <row r="12" spans="1:9" x14ac:dyDescent="0.2">
      <c r="A12" s="1" t="s">
        <v>143</v>
      </c>
      <c r="B12" s="6">
        <v>140</v>
      </c>
      <c r="C12" s="95">
        <f>'DOE25'!F13</f>
        <v>109203.39</v>
      </c>
      <c r="D12" s="95">
        <f>'DOE25'!G13</f>
        <v>253330.07</v>
      </c>
      <c r="E12" s="95">
        <f>'DOE25'!H13</f>
        <v>1953372.25</v>
      </c>
      <c r="F12" s="95">
        <f>'DOE25'!I13</f>
        <v>0</v>
      </c>
      <c r="G12" s="95">
        <f>'DOE25'!J13</f>
        <v>196628.76</v>
      </c>
      <c r="H12" s="124"/>
      <c r="I12" s="124"/>
    </row>
    <row r="13" spans="1:9" x14ac:dyDescent="0.2">
      <c r="A13" s="1" t="s">
        <v>144</v>
      </c>
      <c r="B13" s="6">
        <v>150</v>
      </c>
      <c r="C13" s="95">
        <f>'DOE25'!F14</f>
        <v>30907.67</v>
      </c>
      <c r="D13" s="95">
        <f>'DOE25'!G14</f>
        <v>-23494.18</v>
      </c>
      <c r="E13" s="95">
        <f>'DOE25'!H14</f>
        <v>20918.96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51598.2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19986.59</v>
      </c>
      <c r="D17" s="95">
        <f>'DOE25'!G18</f>
        <v>0</v>
      </c>
      <c r="E17" s="95">
        <f>'DOE25'!H18</f>
        <v>25519.65</v>
      </c>
      <c r="F17" s="95">
        <f>'DOE25'!I18</f>
        <v>0</v>
      </c>
      <c r="G17" s="95">
        <f>'DOE25'!J18</f>
        <v>0</v>
      </c>
      <c r="H17" s="124"/>
      <c r="I17" s="124"/>
    </row>
    <row r="18" spans="1:9" ht="12" thickTop="1" x14ac:dyDescent="0.2">
      <c r="A18" s="38" t="s">
        <v>149</v>
      </c>
      <c r="B18" s="39"/>
      <c r="C18" s="41">
        <f>SUM(C8:C17)</f>
        <v>8702745.2700000014</v>
      </c>
      <c r="D18" s="41">
        <f>SUM(D8:D17)</f>
        <v>80911.139999999985</v>
      </c>
      <c r="E18" s="41">
        <f>SUM(E8:E17)</f>
        <v>177348.27999999991</v>
      </c>
      <c r="F18" s="41">
        <f>SUM(F8:F17)</f>
        <v>0</v>
      </c>
      <c r="G18" s="41">
        <f>SUM(G8:G17)</f>
        <v>196628.76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8386.61</v>
      </c>
      <c r="E23" s="95">
        <f>'DOE25'!H24</f>
        <v>129309.78</v>
      </c>
      <c r="F23" s="95">
        <f>'DOE25'!I24</f>
        <v>0</v>
      </c>
      <c r="G23" s="95">
        <f>'DOE25'!J24</f>
        <v>0</v>
      </c>
      <c r="H23" s="124"/>
      <c r="I23" s="124"/>
    </row>
    <row r="24" spans="1:9" x14ac:dyDescent="0.2">
      <c r="A24" s="1" t="s">
        <v>153</v>
      </c>
      <c r="B24" s="6">
        <v>430</v>
      </c>
      <c r="C24" s="95">
        <f>'DOE25'!F25</f>
        <v>678124.34</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1180.6099999999999</v>
      </c>
      <c r="E27" s="95">
        <f>'DOE25'!H28</f>
        <v>0</v>
      </c>
      <c r="F27" s="95">
        <f>'DOE25'!I28</f>
        <v>0</v>
      </c>
      <c r="G27" s="24" t="s">
        <v>288</v>
      </c>
      <c r="H27" s="124"/>
      <c r="I27" s="124"/>
    </row>
    <row r="28" spans="1:9" x14ac:dyDescent="0.2">
      <c r="A28" s="1" t="s">
        <v>157</v>
      </c>
      <c r="B28" s="6">
        <v>470</v>
      </c>
      <c r="C28" s="95">
        <f>'DOE25'!F29</f>
        <v>25094.67</v>
      </c>
      <c r="D28" s="95">
        <f>'DOE25'!G29</f>
        <v>0</v>
      </c>
      <c r="E28" s="95">
        <f>'DOE25'!H29</f>
        <v>0</v>
      </c>
      <c r="F28" s="95">
        <f>'DOE25'!I29</f>
        <v>0</v>
      </c>
      <c r="G28" s="24" t="s">
        <v>288</v>
      </c>
      <c r="H28" s="124"/>
      <c r="I28" s="124"/>
    </row>
    <row r="29" spans="1:9" x14ac:dyDescent="0.2">
      <c r="A29" s="1" t="s">
        <v>158</v>
      </c>
      <c r="B29" s="6">
        <v>480</v>
      </c>
      <c r="C29" s="95">
        <f>'DOE25'!F30</f>
        <v>11369.28</v>
      </c>
      <c r="D29" s="95">
        <f>'DOE25'!G30</f>
        <v>46601.37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714588.29</v>
      </c>
      <c r="D31" s="41">
        <f>SUM(D21:D30)</f>
        <v>56168.590000000004</v>
      </c>
      <c r="E31" s="41">
        <f>SUM(E21:E30)</f>
        <v>129309.78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51598.2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-26855.65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2898128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48038.5</v>
      </c>
      <c r="F47" s="95">
        <f>'DOE25'!I48</f>
        <v>0</v>
      </c>
      <c r="G47" s="95">
        <f>'DOE25'!J48</f>
        <v>196628.76</v>
      </c>
      <c r="H47" s="124"/>
      <c r="I47" s="124"/>
    </row>
    <row r="48" spans="1:9" x14ac:dyDescent="0.2">
      <c r="A48" s="1" t="s">
        <v>882</v>
      </c>
      <c r="B48" s="6">
        <v>753</v>
      </c>
      <c r="C48" s="95">
        <f>'DOE25'!F49</f>
        <v>659175.98</v>
      </c>
      <c r="D48" s="95">
        <f>'DOE25'!G49</f>
        <v>0</v>
      </c>
      <c r="E48" s="95">
        <f>'DOE25'!H49</f>
        <v>0</v>
      </c>
      <c r="F48" s="95">
        <f>'DOE25'!I49</f>
        <v>0</v>
      </c>
      <c r="G48" s="95">
        <f>'DOE25'!J49</f>
        <v>0</v>
      </c>
      <c r="H48" s="124"/>
      <c r="I48" s="124"/>
    </row>
    <row r="49" spans="1:9" ht="12" thickBot="1" x14ac:dyDescent="0.25">
      <c r="A49" s="29" t="s">
        <v>883</v>
      </c>
      <c r="B49" s="71">
        <v>770</v>
      </c>
      <c r="C49" s="95">
        <f>'DOE25'!F50</f>
        <v>4430853</v>
      </c>
      <c r="D49" s="24" t="s">
        <v>288</v>
      </c>
      <c r="E49" s="24" t="s">
        <v>288</v>
      </c>
      <c r="F49" s="24" t="s">
        <v>288</v>
      </c>
      <c r="G49" s="24" t="s">
        <v>288</v>
      </c>
      <c r="H49" s="124"/>
      <c r="I49" s="124"/>
    </row>
    <row r="50" spans="1:9" ht="12.75" thickTop="1" thickBot="1" x14ac:dyDescent="0.25">
      <c r="A50" s="38" t="s">
        <v>884</v>
      </c>
      <c r="B50" s="48"/>
      <c r="C50" s="41">
        <f>SUM(C34:C49)</f>
        <v>7988156.9800000004</v>
      </c>
      <c r="D50" s="41">
        <f>SUM(D34:D49)</f>
        <v>24742.549999999996</v>
      </c>
      <c r="E50" s="41">
        <f>SUM(E34:E49)</f>
        <v>48038.5</v>
      </c>
      <c r="F50" s="41">
        <f>SUM(F34:F49)</f>
        <v>0</v>
      </c>
      <c r="G50" s="41">
        <f>SUM(G34:G49)</f>
        <v>196628.76</v>
      </c>
      <c r="H50" s="124"/>
      <c r="I50" s="124"/>
    </row>
    <row r="51" spans="1:9" ht="12" thickTop="1" x14ac:dyDescent="0.2">
      <c r="A51" s="38" t="s">
        <v>885</v>
      </c>
      <c r="B51" s="2"/>
      <c r="C51" s="41">
        <f>C50+C31</f>
        <v>8702745.2699999996</v>
      </c>
      <c r="D51" s="41">
        <f>D50+D31</f>
        <v>80911.14</v>
      </c>
      <c r="E51" s="41">
        <f>E50+E31</f>
        <v>177348.28</v>
      </c>
      <c r="F51" s="41">
        <f>F50+F31</f>
        <v>0</v>
      </c>
      <c r="G51" s="41">
        <f>G50+G31</f>
        <v>196628.76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51373622</v>
      </c>
      <c r="D56" s="95">
        <f>'DOE25'!G60</f>
        <v>0</v>
      </c>
      <c r="E56" s="95">
        <f>'DOE25'!H60</f>
        <v>0</v>
      </c>
      <c r="F56" s="95">
        <f>'DOE25'!I60</f>
        <v>0</v>
      </c>
      <c r="G56" s="95">
        <f>'DOE25'!J60</f>
        <v>0</v>
      </c>
      <c r="H56"/>
      <c r="I56"/>
    </row>
    <row r="57" spans="1:9" x14ac:dyDescent="0.2">
      <c r="A57" s="1" t="s">
        <v>164</v>
      </c>
      <c r="B57" s="6" t="s">
        <v>165</v>
      </c>
      <c r="C57" s="95">
        <f>'DOE25'!F79</f>
        <v>39464.129999999997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8231.11</v>
      </c>
      <c r="D59" s="95">
        <f>'DOE25'!G96</f>
        <v>0</v>
      </c>
      <c r="E59" s="95">
        <f>'DOE25'!H96</f>
        <v>0</v>
      </c>
      <c r="F59" s="95">
        <f>'DOE25'!I96</f>
        <v>0</v>
      </c>
      <c r="G59" s="95">
        <f>'DOE25'!J96</f>
        <v>2291.98</v>
      </c>
      <c r="H59"/>
      <c r="I59"/>
    </row>
    <row r="60" spans="1:9" x14ac:dyDescent="0.2">
      <c r="A60" s="1" t="s">
        <v>170</v>
      </c>
      <c r="B60" s="118" t="s">
        <v>171</v>
      </c>
      <c r="C60" s="24" t="s">
        <v>288</v>
      </c>
      <c r="D60" s="95">
        <f>'DOE25'!G97</f>
        <v>33541.19</v>
      </c>
      <c r="E60" s="24" t="s">
        <v>288</v>
      </c>
      <c r="F60" s="24" t="s">
        <v>288</v>
      </c>
      <c r="G60" s="24" t="s">
        <v>288</v>
      </c>
      <c r="H60"/>
      <c r="I60"/>
    </row>
    <row r="61" spans="1:9" ht="12" thickBot="1" x14ac:dyDescent="0.25">
      <c r="A61" s="1" t="s">
        <v>172</v>
      </c>
      <c r="B61" s="118" t="s">
        <v>173</v>
      </c>
      <c r="C61" s="95">
        <f>SUM('DOE25'!F98:F110)</f>
        <v>636250.47</v>
      </c>
      <c r="D61" s="95">
        <f>SUM('DOE25'!G98:G110)</f>
        <v>4058.25</v>
      </c>
      <c r="E61" s="95">
        <f>SUM('DOE25'!H98:H110)</f>
        <v>0</v>
      </c>
      <c r="F61" s="95">
        <f>SUM('DOE25'!I98:I110)</f>
        <v>0</v>
      </c>
      <c r="G61" s="95">
        <f>SUM('DOE25'!J98:J110)</f>
        <v>0</v>
      </c>
      <c r="H61"/>
      <c r="I61"/>
    </row>
    <row r="62" spans="1:9" ht="12.75" thickTop="1" thickBot="1" x14ac:dyDescent="0.25">
      <c r="A62" s="29" t="s">
        <v>174</v>
      </c>
      <c r="B62" s="6"/>
      <c r="C62" s="130">
        <f>SUM(C57:C61)</f>
        <v>683945.71</v>
      </c>
      <c r="D62" s="130">
        <f>SUM(D57:D61)</f>
        <v>37599.440000000002</v>
      </c>
      <c r="E62" s="130">
        <f>SUM(E57:E61)</f>
        <v>0</v>
      </c>
      <c r="F62" s="130">
        <f>SUM(F57:F61)</f>
        <v>0</v>
      </c>
      <c r="G62" s="130">
        <f>SUM(G57:G61)</f>
        <v>2291.98</v>
      </c>
      <c r="H62"/>
      <c r="I62"/>
    </row>
    <row r="63" spans="1:9" ht="12" thickTop="1" x14ac:dyDescent="0.2">
      <c r="A63" s="29" t="s">
        <v>175</v>
      </c>
      <c r="B63" s="6"/>
      <c r="C63" s="22">
        <f>C56+C62</f>
        <v>52057567.710000001</v>
      </c>
      <c r="D63" s="22">
        <f>D56+D62</f>
        <v>37599.440000000002</v>
      </c>
      <c r="E63" s="22">
        <f>E56+E62</f>
        <v>0</v>
      </c>
      <c r="F63" s="22">
        <f>F56+F62</f>
        <v>0</v>
      </c>
      <c r="G63" s="22">
        <f>G56+G62</f>
        <v>2291.98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27151449.440000001</v>
      </c>
      <c r="D66" s="24" t="s">
        <v>288</v>
      </c>
      <c r="E66" s="24" t="s">
        <v>288</v>
      </c>
      <c r="F66" s="24" t="s">
        <v>288</v>
      </c>
      <c r="G66" s="24" t="s">
        <v>288</v>
      </c>
      <c r="H66"/>
      <c r="I66"/>
    </row>
    <row r="67" spans="1:9" x14ac:dyDescent="0.2">
      <c r="A67" s="1" t="s">
        <v>770</v>
      </c>
      <c r="B67" s="6">
        <v>3112</v>
      </c>
      <c r="C67" s="95">
        <f>'DOE25'!F118</f>
        <v>6588941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85154.17</v>
      </c>
      <c r="D69" s="95">
        <f>'DOE25'!G120</f>
        <v>0</v>
      </c>
      <c r="E69" s="95">
        <f>'DOE25'!H120</f>
        <v>0</v>
      </c>
      <c r="F69" s="95">
        <f>'DOE25'!I120</f>
        <v>0</v>
      </c>
      <c r="G69" s="95">
        <f>'DOE25'!J120</f>
        <v>0</v>
      </c>
      <c r="H69"/>
      <c r="I69"/>
    </row>
    <row r="70" spans="1:9" ht="12" thickTop="1" x14ac:dyDescent="0.2">
      <c r="A70" s="29" t="s">
        <v>252</v>
      </c>
      <c r="B70" s="2"/>
      <c r="C70" s="139">
        <f>SUM(C66:C69)</f>
        <v>33825544.609999999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462659.09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530949.68000000005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32891.919999999998</v>
      </c>
      <c r="E77" s="95">
        <f>SUM('DOE25'!H131:H135)</f>
        <v>0</v>
      </c>
      <c r="F77" s="95">
        <f>SUM('DOE25'!I131:I135)</f>
        <v>0</v>
      </c>
      <c r="G77" s="95">
        <f>SUM('DOE25'!J131:J135)</f>
        <v>0</v>
      </c>
      <c r="H77"/>
      <c r="I77"/>
    </row>
    <row r="78" spans="1:9" ht="12.75" thickTop="1" thickBot="1" x14ac:dyDescent="0.25">
      <c r="A78" s="29" t="s">
        <v>259</v>
      </c>
      <c r="B78" s="6"/>
      <c r="C78" s="130">
        <f>SUM(C72:C77)</f>
        <v>993608.77</v>
      </c>
      <c r="D78" s="130">
        <f>SUM(D72:D77)</f>
        <v>32891.919999999998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34819153.380000003</v>
      </c>
      <c r="D81" s="130">
        <f>SUM(D79:D80)+D78+D70</f>
        <v>32891.919999999998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2376369.44</v>
      </c>
      <c r="D88" s="331">
        <f>SUM('DOE25'!G153:G162)</f>
        <v>1291625.21</v>
      </c>
      <c r="E88" s="331">
        <f>SUM('DOE25'!H153:H162)</f>
        <v>4690584.1099999994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2376369.44</v>
      </c>
      <c r="D91" s="131">
        <f>SUM(D85:D90)</f>
        <v>1291625.21</v>
      </c>
      <c r="E91" s="131">
        <f>SUM(E85:E90)</f>
        <v>4690584.1099999994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89253090.530000001</v>
      </c>
      <c r="D104" s="86">
        <f>D63+D81+D91+D103</f>
        <v>1362116.57</v>
      </c>
      <c r="E104" s="86">
        <f>E63+E81+E91+E103</f>
        <v>4690584.1099999994</v>
      </c>
      <c r="F104" s="86">
        <f>F63+F81+F91+F103</f>
        <v>0</v>
      </c>
      <c r="G104" s="86">
        <f>G63+G81+G103</f>
        <v>2291.98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42002525.200000003</v>
      </c>
      <c r="D109" s="24" t="s">
        <v>288</v>
      </c>
      <c r="E109" s="95">
        <f>('DOE25'!L277)+('DOE25'!L296)+('DOE25'!L315)</f>
        <v>1746864.03</v>
      </c>
      <c r="F109" s="24" t="s">
        <v>288</v>
      </c>
      <c r="G109" s="24" t="s">
        <v>288</v>
      </c>
    </row>
    <row r="110" spans="1:7" x14ac:dyDescent="0.2">
      <c r="A110" t="s">
        <v>198</v>
      </c>
      <c r="B110" s="32" t="s">
        <v>199</v>
      </c>
      <c r="C110" s="95">
        <f>('DOE25'!L199)+('DOE25'!L217)+('DOE25'!L235)</f>
        <v>17789513.329999998</v>
      </c>
      <c r="D110" s="24" t="s">
        <v>288</v>
      </c>
      <c r="E110" s="95">
        <f>('DOE25'!L278)+('DOE25'!L297)+('DOE25'!L316)</f>
        <v>2391621.5499999998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141727.31</v>
      </c>
      <c r="D112" s="24" t="s">
        <v>288</v>
      </c>
      <c r="E112" s="95">
        <f>+('DOE25'!L280)+('DOE25'!L299)+('DOE25'!L318)</f>
        <v>24654.950000000004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49749.390000000007</v>
      </c>
      <c r="D114" s="24" t="s">
        <v>288</v>
      </c>
      <c r="E114" s="95">
        <f>+ SUM('DOE25'!L334:L336)</f>
        <v>98986.209999999992</v>
      </c>
      <c r="F114" s="24" t="s">
        <v>288</v>
      </c>
      <c r="G114" s="24" t="s">
        <v>288</v>
      </c>
    </row>
    <row r="115" spans="1:7" ht="12.75" thickTop="1" thickBot="1" x14ac:dyDescent="0.25">
      <c r="A115" s="33" t="s">
        <v>205</v>
      </c>
      <c r="C115" s="86">
        <f>SUM(C109:C114)</f>
        <v>59983515.230000004</v>
      </c>
      <c r="D115" s="86">
        <f>SUM(D109:D114)</f>
        <v>0</v>
      </c>
      <c r="E115" s="86">
        <f>SUM(E109:E114)</f>
        <v>4262126.74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6573257.4500000002</v>
      </c>
      <c r="D118" s="24" t="s">
        <v>288</v>
      </c>
      <c r="E118" s="95">
        <f>+('DOE25'!L282)+('DOE25'!L301)+('DOE25'!L320)</f>
        <v>67867.88</v>
      </c>
      <c r="F118" s="24" t="s">
        <v>288</v>
      </c>
      <c r="G118" s="24" t="s">
        <v>288</v>
      </c>
    </row>
    <row r="119" spans="1:7" x14ac:dyDescent="0.2">
      <c r="A119" t="s">
        <v>208</v>
      </c>
      <c r="B119" s="32" t="s">
        <v>209</v>
      </c>
      <c r="C119" s="95">
        <f>('DOE25'!L204)+('DOE25'!L222)+('DOE25'!L240)</f>
        <v>2084141.8599999999</v>
      </c>
      <c r="D119" s="24" t="s">
        <v>288</v>
      </c>
      <c r="E119" s="95">
        <f>+('DOE25'!L283)+('DOE25'!L302)+('DOE25'!L321)</f>
        <v>519563.10999999993</v>
      </c>
      <c r="F119" s="24" t="s">
        <v>288</v>
      </c>
      <c r="G119" s="24" t="s">
        <v>288</v>
      </c>
    </row>
    <row r="120" spans="1:7" x14ac:dyDescent="0.2">
      <c r="A120" t="s">
        <v>210</v>
      </c>
      <c r="B120" s="32" t="s">
        <v>211</v>
      </c>
      <c r="C120" s="95">
        <f>('DOE25'!L205)+('DOE25'!L223)+('DOE25'!L241)</f>
        <v>1031374.0700000001</v>
      </c>
      <c r="D120" s="24" t="s">
        <v>288</v>
      </c>
      <c r="E120" s="95">
        <f>+('DOE25'!L284)+('DOE25'!L303)+('DOE25'!L322)</f>
        <v>23466.89</v>
      </c>
      <c r="F120" s="24" t="s">
        <v>288</v>
      </c>
      <c r="G120" s="24" t="s">
        <v>288</v>
      </c>
    </row>
    <row r="121" spans="1:7" x14ac:dyDescent="0.2">
      <c r="A121" t="s">
        <v>212</v>
      </c>
      <c r="B121" s="32" t="s">
        <v>213</v>
      </c>
      <c r="C121" s="95">
        <f>('DOE25'!L206)+('DOE25'!L224)+('DOE25'!L242)</f>
        <v>3571991.47</v>
      </c>
      <c r="D121" s="24" t="s">
        <v>288</v>
      </c>
      <c r="E121" s="95">
        <f>+('DOE25'!L285)+('DOE25'!L304)+('DOE25'!L323)</f>
        <v>54930.619999999995</v>
      </c>
      <c r="F121" s="24" t="s">
        <v>288</v>
      </c>
      <c r="G121" s="24" t="s">
        <v>288</v>
      </c>
    </row>
    <row r="122" spans="1:7" x14ac:dyDescent="0.2">
      <c r="A122" t="s">
        <v>214</v>
      </c>
      <c r="B122" s="32" t="s">
        <v>215</v>
      </c>
      <c r="C122" s="95">
        <f>('DOE25'!L207)+('DOE25'!L225)+('DOE25'!L243)</f>
        <v>643090</v>
      </c>
      <c r="D122" s="24" t="s">
        <v>288</v>
      </c>
      <c r="E122" s="95">
        <f>+('DOE25'!L286)+('DOE25'!L305)+('DOE25'!L324)</f>
        <v>348836.22</v>
      </c>
      <c r="F122" s="24" t="s">
        <v>288</v>
      </c>
      <c r="G122" s="24" t="s">
        <v>288</v>
      </c>
    </row>
    <row r="123" spans="1:7" x14ac:dyDescent="0.2">
      <c r="A123" t="s">
        <v>216</v>
      </c>
      <c r="B123" s="32" t="s">
        <v>217</v>
      </c>
      <c r="C123" s="95">
        <f>('DOE25'!L208)+('DOE25'!L226)+('DOE25'!L244)</f>
        <v>5037424.93</v>
      </c>
      <c r="D123" s="24" t="s">
        <v>288</v>
      </c>
      <c r="E123" s="95">
        <f>+('DOE25'!L287)+('DOE25'!L306)+('DOE25'!L325)</f>
        <v>1297091.4100000001</v>
      </c>
      <c r="F123" s="24" t="s">
        <v>288</v>
      </c>
      <c r="G123" s="24" t="s">
        <v>288</v>
      </c>
    </row>
    <row r="124" spans="1:7" x14ac:dyDescent="0.2">
      <c r="A124" t="s">
        <v>218</v>
      </c>
      <c r="B124" s="32" t="s">
        <v>219</v>
      </c>
      <c r="C124" s="95">
        <f>('DOE25'!L209)+('DOE25'!L227)+('DOE25'!L245+'DOE25'!L255)</f>
        <v>3209084.12</v>
      </c>
      <c r="D124" s="24" t="s">
        <v>288</v>
      </c>
      <c r="E124" s="95">
        <f>+('DOE25'!L288)+('DOE25'!L307)+('DOE25'!L326)</f>
        <v>375618.89</v>
      </c>
      <c r="F124" s="24" t="s">
        <v>288</v>
      </c>
      <c r="G124" s="24" t="s">
        <v>288</v>
      </c>
    </row>
    <row r="125" spans="1:7" x14ac:dyDescent="0.2">
      <c r="A125" t="s">
        <v>220</v>
      </c>
      <c r="B125" s="32" t="s">
        <v>221</v>
      </c>
      <c r="C125" s="95">
        <f>('DOE25'!L210)+('DOE25'!L228)+('DOE25'!L246)</f>
        <v>37677.5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1339328.21</v>
      </c>
      <c r="E127" s="24" t="s">
        <v>288</v>
      </c>
      <c r="F127" s="24" t="s">
        <v>288</v>
      </c>
      <c r="G127" s="24" t="s">
        <v>288</v>
      </c>
    </row>
    <row r="128" spans="1:7" ht="12.75" thickTop="1" thickBot="1" x14ac:dyDescent="0.25">
      <c r="A128" s="33" t="s">
        <v>226</v>
      </c>
      <c r="C128" s="86">
        <f>SUM(C118:C127)</f>
        <v>22188041.400000002</v>
      </c>
      <c r="D128" s="86">
        <f>SUM(D118:D127)</f>
        <v>1339328.21</v>
      </c>
      <c r="E128" s="86">
        <f>SUM(E118:E127)</f>
        <v>2687375.02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1731024.86</v>
      </c>
      <c r="D131" s="24" t="s">
        <v>288</v>
      </c>
      <c r="E131" s="129">
        <f>'DOE25'!L342</f>
        <v>0</v>
      </c>
      <c r="F131" s="24" t="s">
        <v>288</v>
      </c>
      <c r="G131" s="24" t="s">
        <v>288</v>
      </c>
    </row>
    <row r="132" spans="1:7" x14ac:dyDescent="0.2">
      <c r="A132" t="s">
        <v>230</v>
      </c>
      <c r="B132" s="32">
        <v>5120</v>
      </c>
      <c r="C132" s="95">
        <f>'DOE25'!L262</f>
        <v>403103.94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2291.98</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-2291.98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2134128.8000000003</v>
      </c>
      <c r="D144" s="141">
        <f>SUM(D130:D143)</f>
        <v>0</v>
      </c>
      <c r="E144" s="141">
        <f>SUM(E130:E143)</f>
        <v>0</v>
      </c>
      <c r="F144" s="141">
        <f>SUM(F130:F143)</f>
        <v>0</v>
      </c>
      <c r="G144" s="141">
        <f>SUM(G130:G143)</f>
        <v>0</v>
      </c>
    </row>
    <row r="145" spans="1:9" ht="12.75" thickTop="1" thickBot="1" x14ac:dyDescent="0.25">
      <c r="A145" s="33" t="s">
        <v>244</v>
      </c>
      <c r="C145" s="86">
        <f>(C115+C128+C144)</f>
        <v>84305685.430000007</v>
      </c>
      <c r="D145" s="86">
        <f>(D115+D128+D144)</f>
        <v>1339328.21</v>
      </c>
      <c r="E145" s="86">
        <f>(E115+E128+E144)</f>
        <v>6949501.7599999998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L29" sqref="L2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Derry Cooperative School District</v>
      </c>
    </row>
    <row r="3" spans="1:4" x14ac:dyDescent="0.2">
      <c r="B3" s="188" t="s">
        <v>1666</v>
      </c>
    </row>
    <row r="4" spans="1:4" x14ac:dyDescent="0.2">
      <c r="B4" t="s">
        <v>61</v>
      </c>
      <c r="C4" s="179">
        <f>IF('DOE25'!F666+'DOE25'!F671=0,0,ROUND('DOE25'!F673,0))</f>
        <v>18503</v>
      </c>
    </row>
    <row r="5" spans="1:4" x14ac:dyDescent="0.2">
      <c r="B5" t="s">
        <v>700</v>
      </c>
      <c r="C5" s="179">
        <f>IF('DOE25'!G666+'DOE25'!G671=0,0,ROUND('DOE25'!G673,0))</f>
        <v>17666</v>
      </c>
    </row>
    <row r="6" spans="1:4" x14ac:dyDescent="0.2">
      <c r="B6" t="s">
        <v>62</v>
      </c>
      <c r="C6" s="179">
        <f>IF('DOE25'!H666+'DOE25'!H671=0,0,ROUND('DOE25'!H673,0))</f>
        <v>0</v>
      </c>
    </row>
    <row r="7" spans="1:4" x14ac:dyDescent="0.2">
      <c r="B7" t="s">
        <v>701</v>
      </c>
      <c r="C7" s="179">
        <f>IF('DOE25'!I666+'DOE25'!I671=0,0,ROUND('DOE25'!I673,0))</f>
        <v>18192</v>
      </c>
    </row>
    <row r="9" spans="1:4" x14ac:dyDescent="0.2">
      <c r="A9" s="187" t="s">
        <v>94</v>
      </c>
      <c r="B9" s="188" t="s">
        <v>1671</v>
      </c>
      <c r="C9" s="181" t="s">
        <v>720</v>
      </c>
      <c r="D9" s="181" t="s">
        <v>721</v>
      </c>
    </row>
    <row r="10" spans="1:4" x14ac:dyDescent="0.2">
      <c r="A10">
        <v>1100</v>
      </c>
      <c r="B10" t="s">
        <v>702</v>
      </c>
      <c r="C10" s="179">
        <f>ROUND('DOE25'!L198+'DOE25'!L216+'DOE25'!L234+'DOE25'!L277+'DOE25'!L296+'DOE25'!L315,0)</f>
        <v>43749389</v>
      </c>
      <c r="D10" s="182">
        <f>ROUND((C10/$C$28)*100,1)</f>
        <v>48.2</v>
      </c>
    </row>
    <row r="11" spans="1:4" x14ac:dyDescent="0.2">
      <c r="A11">
        <v>1200</v>
      </c>
      <c r="B11" t="s">
        <v>703</v>
      </c>
      <c r="C11" s="179">
        <f>ROUND('DOE25'!L199+'DOE25'!L217+'DOE25'!L235+'DOE25'!L278+'DOE25'!L297+'DOE25'!L316,0)</f>
        <v>20181135</v>
      </c>
      <c r="D11" s="182">
        <f>ROUND((C11/$C$28)*100,1)</f>
        <v>22.2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166382</v>
      </c>
      <c r="D13" s="182">
        <f>ROUND((C13/$C$28)*100,1)</f>
        <v>0.2</v>
      </c>
    </row>
    <row r="14" spans="1:4" x14ac:dyDescent="0.2">
      <c r="D14" s="182"/>
    </row>
    <row r="15" spans="1:4" x14ac:dyDescent="0.2">
      <c r="A15">
        <v>2100</v>
      </c>
      <c r="B15" t="s">
        <v>706</v>
      </c>
      <c r="C15" s="179">
        <f>ROUND('DOE25'!L203+'DOE25'!L221+'DOE25'!L239+'DOE25'!L282+'DOE25'!L301+'DOE25'!L320,0)</f>
        <v>6641125</v>
      </c>
      <c r="D15" s="182">
        <f t="shared" ref="D15:D27" si="0">ROUND((C15/$C$28)*100,1)</f>
        <v>7.3</v>
      </c>
    </row>
    <row r="16" spans="1:4" x14ac:dyDescent="0.2">
      <c r="A16">
        <v>2200</v>
      </c>
      <c r="B16" t="s">
        <v>707</v>
      </c>
      <c r="C16" s="179">
        <f>ROUND('DOE25'!L204+'DOE25'!L222+'DOE25'!L240+'DOE25'!L283+'DOE25'!L302+'DOE25'!L321,0)</f>
        <v>2603705</v>
      </c>
      <c r="D16" s="182">
        <f t="shared" si="0"/>
        <v>2.9</v>
      </c>
    </row>
    <row r="17" spans="1:4" x14ac:dyDescent="0.2">
      <c r="A17" s="183" t="s">
        <v>723</v>
      </c>
      <c r="B17" t="s">
        <v>738</v>
      </c>
      <c r="C17" s="179">
        <f>ROUND('DOE25'!L205+'DOE25'!L210+'DOE25'!L223+'DOE25'!L228+'DOE25'!L241+'DOE25'!L246+'DOE25'!L284+'DOE25'!L289+'DOE25'!L303+'DOE25'!L308+'DOE25'!L322+'DOE25'!L327,0)</f>
        <v>1092518</v>
      </c>
      <c r="D17" s="182">
        <f t="shared" si="0"/>
        <v>1.2</v>
      </c>
    </row>
    <row r="18" spans="1:4" x14ac:dyDescent="0.2">
      <c r="A18">
        <v>2400</v>
      </c>
      <c r="B18" t="s">
        <v>711</v>
      </c>
      <c r="C18" s="179">
        <f>ROUND('DOE25'!L206+'DOE25'!L224+'DOE25'!L242+'DOE25'!L285+'DOE25'!L304+'DOE25'!L323,0)</f>
        <v>3626922</v>
      </c>
      <c r="D18" s="182">
        <f t="shared" si="0"/>
        <v>4</v>
      </c>
    </row>
    <row r="19" spans="1:4" x14ac:dyDescent="0.2">
      <c r="A19">
        <v>2500</v>
      </c>
      <c r="B19" t="s">
        <v>708</v>
      </c>
      <c r="C19" s="179">
        <f>ROUND('DOE25'!L207+'DOE25'!L225+'DOE25'!L243+'DOE25'!L286+'DOE25'!L305+'DOE25'!L324,0)</f>
        <v>991926</v>
      </c>
      <c r="D19" s="182">
        <f t="shared" si="0"/>
        <v>1.1000000000000001</v>
      </c>
    </row>
    <row r="20" spans="1:4" x14ac:dyDescent="0.2">
      <c r="A20">
        <v>2600</v>
      </c>
      <c r="B20" t="s">
        <v>709</v>
      </c>
      <c r="C20" s="179">
        <f>ROUND('DOE25'!L208+'DOE25'!L226+'DOE25'!L244+'DOE25'!L287+'DOE25'!L306+'DOE25'!L325,0)</f>
        <v>6334516</v>
      </c>
      <c r="D20" s="182">
        <f t="shared" si="0"/>
        <v>7</v>
      </c>
    </row>
    <row r="21" spans="1:4" x14ac:dyDescent="0.2">
      <c r="A21">
        <v>2700</v>
      </c>
      <c r="B21" t="s">
        <v>710</v>
      </c>
      <c r="C21" s="179">
        <f>ROUND('DOE25'!L209+'DOE25'!L227+'DOE25'!L245+'DOE25'!L288+'DOE25'!L307+'DOE25'!L326,0)</f>
        <v>3584703</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148736</v>
      </c>
      <c r="D24" s="182">
        <f t="shared" si="0"/>
        <v>0.2</v>
      </c>
    </row>
    <row r="25" spans="1:4" x14ac:dyDescent="0.2">
      <c r="A25">
        <v>5120</v>
      </c>
      <c r="B25" t="s">
        <v>716</v>
      </c>
      <c r="C25" s="179">
        <f>ROUND('DOE25'!L262+'DOE25'!L343,0)</f>
        <v>403104</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1301728.56</v>
      </c>
      <c r="D27" s="182">
        <f t="shared" si="0"/>
        <v>1.4</v>
      </c>
    </row>
    <row r="28" spans="1:4" x14ac:dyDescent="0.2">
      <c r="B28" s="187" t="s">
        <v>719</v>
      </c>
      <c r="C28" s="180">
        <f>SUM(C10:C27)</f>
        <v>90825889.560000002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90825889.560000002</v>
      </c>
    </row>
    <row r="31" spans="1:4" x14ac:dyDescent="0.2">
      <c r="B31" s="33"/>
      <c r="C31" s="180"/>
    </row>
    <row r="32" spans="1:4" x14ac:dyDescent="0.2">
      <c r="A32">
        <v>5100</v>
      </c>
      <c r="B32" s="33" t="s">
        <v>726</v>
      </c>
      <c r="C32" s="180">
        <f>ROUND('DOE25'!L261+'DOE25'!L342,0)</f>
        <v>1731025</v>
      </c>
    </row>
    <row r="34" spans="1:4" x14ac:dyDescent="0.2">
      <c r="A34" s="187" t="s">
        <v>94</v>
      </c>
      <c r="B34" s="188" t="s">
        <v>1667</v>
      </c>
      <c r="C34" s="181" t="s">
        <v>720</v>
      </c>
      <c r="D34" s="181" t="s">
        <v>721</v>
      </c>
    </row>
    <row r="35" spans="1:4" x14ac:dyDescent="0.2">
      <c r="A35">
        <v>1100</v>
      </c>
      <c r="B35" s="185" t="s">
        <v>727</v>
      </c>
      <c r="C35" s="179">
        <f>ROUND('DOE25'!F60+'DOE25'!G60+'DOE25'!H60+'DOE25'!I60+'DOE25'!J60,0)</f>
        <v>51373622</v>
      </c>
      <c r="D35" s="182">
        <f t="shared" ref="D35:D40" si="1">ROUND((C35/$C$41)*100,1)</f>
        <v>53.9</v>
      </c>
    </row>
    <row r="36" spans="1:4" x14ac:dyDescent="0.2">
      <c r="B36" s="185" t="s">
        <v>739</v>
      </c>
      <c r="C36" s="179">
        <f>SUM('DOE25'!F112:J112)-SUM('DOE25'!G97:G110)+('DOE25'!F175+'DOE25'!F176+'DOE25'!I175+'DOE25'!I176)-C35</f>
        <v>686237.68999999762</v>
      </c>
      <c r="D36" s="182">
        <f t="shared" si="1"/>
        <v>0.7</v>
      </c>
    </row>
    <row r="37" spans="1:4" x14ac:dyDescent="0.2">
      <c r="A37" s="183" t="s">
        <v>835</v>
      </c>
      <c r="B37" s="185" t="s">
        <v>728</v>
      </c>
      <c r="C37" s="179">
        <f>ROUND('DOE25'!F117+'DOE25'!F118,0)</f>
        <v>33740390</v>
      </c>
      <c r="D37" s="182">
        <f t="shared" si="1"/>
        <v>35.4</v>
      </c>
    </row>
    <row r="38" spans="1:4" x14ac:dyDescent="0.2">
      <c r="A38" s="183" t="s">
        <v>734</v>
      </c>
      <c r="B38" s="185" t="s">
        <v>729</v>
      </c>
      <c r="C38" s="179">
        <f>ROUND(SUM('DOE25'!F140:J140)-SUM('DOE25'!F117:F119),0)</f>
        <v>1111655</v>
      </c>
      <c r="D38" s="182">
        <f t="shared" si="1"/>
        <v>1.2</v>
      </c>
    </row>
    <row r="39" spans="1:4" x14ac:dyDescent="0.2">
      <c r="A39">
        <v>4000</v>
      </c>
      <c r="B39" s="185" t="s">
        <v>730</v>
      </c>
      <c r="C39" s="179">
        <f>ROUND('DOE25'!F170+'DOE25'!G170+'DOE25'!H170+'DOE25'!I170,0)</f>
        <v>8358579</v>
      </c>
      <c r="D39" s="182">
        <f t="shared" si="1"/>
        <v>8.8000000000000007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95270483.689999998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R25" sqref="R25:S25"/>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Derry Cooperative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2021-10-12T16:53:25Z</cp:lastPrinted>
  <dcterms:created xsi:type="dcterms:W3CDTF">1997-12-04T19:04:30Z</dcterms:created>
  <dcterms:modified xsi:type="dcterms:W3CDTF">2021-12-03T19:22:10Z</dcterms:modified>
</cp:coreProperties>
</file>