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775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K264" i="1" l="1"/>
  <c r="F24" i="1"/>
  <c r="E22" i="17"/>
  <c r="E28" i="17"/>
  <c r="E30" i="17"/>
  <c r="I49" i="1"/>
  <c r="I22" i="1"/>
  <c r="H48" i="1"/>
  <c r="J605" i="1"/>
  <c r="H605" i="1"/>
  <c r="H161" i="1"/>
  <c r="F369" i="1"/>
  <c r="F368" i="1"/>
  <c r="H361" i="1"/>
  <c r="G180" i="1"/>
  <c r="G97" i="1"/>
  <c r="G499" i="1"/>
  <c r="H499" i="1"/>
  <c r="I499" i="1"/>
  <c r="J499" i="1"/>
  <c r="F499" i="1"/>
  <c r="F244" i="1"/>
  <c r="F208" i="1"/>
  <c r="H198" i="1"/>
  <c r="F57" i="1"/>
  <c r="F128" i="1"/>
  <c r="F68" i="1"/>
  <c r="F14" i="1"/>
  <c r="F9" i="1"/>
  <c r="G653" i="1"/>
  <c r="E7" i="17"/>
  <c r="E43" i="14"/>
  <c r="D43" i="14"/>
  <c r="C28" i="14" a="1"/>
  <c r="C28" i="14"/>
  <c r="E33" i="14"/>
  <c r="D33" i="14"/>
  <c r="E21" i="14"/>
  <c r="D21" i="14"/>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c r="G29" i="13"/>
  <c r="B22" i="12"/>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3" i="15"/>
  <c r="F88" i="2"/>
  <c r="E88" i="2"/>
  <c r="D88" i="2"/>
  <c r="C88" i="2"/>
  <c r="I163" i="1"/>
  <c r="H163" i="1"/>
  <c r="G163" i="1"/>
  <c r="F163" i="1"/>
  <c r="B31" i="16"/>
  <c r="B27" i="16"/>
  <c r="B9" i="16"/>
  <c r="B5" i="16"/>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36" i="14"/>
  <c r="L234" i="1"/>
  <c r="L235" i="1"/>
  <c r="L236" i="1"/>
  <c r="L237" i="1"/>
  <c r="L239" i="1"/>
  <c r="L240" i="1"/>
  <c r="L241" i="1"/>
  <c r="L242" i="1"/>
  <c r="L244" i="1"/>
  <c r="L245" i="1"/>
  <c r="L248" i="1"/>
  <c r="L315" i="1"/>
  <c r="L316" i="1"/>
  <c r="L329" i="1"/>
  <c r="G36" i="14"/>
  <c r="H36"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B29" i="14"/>
  <c r="C29" i="14" a="1"/>
  <c r="C29" i="14"/>
  <c r="B30" i="14"/>
  <c r="C30" i="14" a="1"/>
  <c r="C30" i="14"/>
  <c r="B31" i="14"/>
  <c r="C31" i="14" a="1"/>
  <c r="C31" i="14"/>
  <c r="B32" i="14"/>
  <c r="C32" i="14" a="1"/>
  <c r="C32" i="14"/>
  <c r="B25" i="14"/>
  <c r="C25" i="14" a="1"/>
  <c r="C25" i="14"/>
  <c r="F5" i="14"/>
  <c r="F24" i="14"/>
  <c r="H24" i="14"/>
  <c r="I24" i="14"/>
  <c r="F4" i="14"/>
  <c r="L198" i="1"/>
  <c r="L199" i="1"/>
  <c r="L201" i="1"/>
  <c r="L203" i="1"/>
  <c r="L204" i="1"/>
  <c r="L205" i="1"/>
  <c r="L206" i="1"/>
  <c r="L208" i="1"/>
  <c r="L209" i="1"/>
  <c r="L212" i="1"/>
  <c r="L277" i="1"/>
  <c r="L278" i="1"/>
  <c r="L291" i="1"/>
  <c r="G4" i="14"/>
  <c r="H4" i="14"/>
  <c r="I4"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23" i="1"/>
  <c r="C120" i="2"/>
  <c r="D39" i="13"/>
  <c r="G13" i="13"/>
  <c r="H13" i="13"/>
  <c r="L207" i="1"/>
  <c r="E13" i="13"/>
  <c r="C13" i="13"/>
  <c r="L225" i="1"/>
  <c r="L243" i="1"/>
  <c r="G16" i="13"/>
  <c r="H16" i="13"/>
  <c r="L210" i="1"/>
  <c r="L228" i="1"/>
  <c r="L246" i="1"/>
  <c r="G5" i="13"/>
  <c r="H5" i="13"/>
  <c r="L200" i="1"/>
  <c r="L216" i="1"/>
  <c r="L217" i="1"/>
  <c r="L218" i="1"/>
  <c r="L219" i="1"/>
  <c r="G6" i="13"/>
  <c r="H6" i="13"/>
  <c r="D6" i="13"/>
  <c r="C6" i="13"/>
  <c r="L221" i="1"/>
  <c r="G7" i="13"/>
  <c r="H7" i="13"/>
  <c r="L222" i="1"/>
  <c r="G12" i="13"/>
  <c r="H12" i="13"/>
  <c r="L224" i="1"/>
  <c r="C121" i="2"/>
  <c r="G14" i="13"/>
  <c r="H14" i="13"/>
  <c r="L226" i="1"/>
  <c r="G15" i="13"/>
  <c r="H15" i="13"/>
  <c r="D15" i="13"/>
  <c r="C15" i="13"/>
  <c r="L227" i="1"/>
  <c r="G17" i="13"/>
  <c r="H17" i="13"/>
  <c r="L252" i="1"/>
  <c r="G18" i="13"/>
  <c r="H18" i="13"/>
  <c r="L253" i="1"/>
  <c r="D18" i="13"/>
  <c r="C18" i="13"/>
  <c r="G19" i="13"/>
  <c r="H19" i="13"/>
  <c r="L254" i="1"/>
  <c r="H29" i="13"/>
  <c r="L359" i="1"/>
  <c r="L360" i="1"/>
  <c r="L361" i="1"/>
  <c r="G662" i="1"/>
  <c r="I368" i="1"/>
  <c r="J291" i="1"/>
  <c r="J310" i="1"/>
  <c r="J329" i="1"/>
  <c r="K291" i="1"/>
  <c r="K310" i="1"/>
  <c r="K329" i="1"/>
  <c r="E110" i="2"/>
  <c r="L279" i="1"/>
  <c r="L280" i="1"/>
  <c r="L282" i="1"/>
  <c r="L283" i="1"/>
  <c r="E119" i="2"/>
  <c r="L284" i="1"/>
  <c r="L285" i="1"/>
  <c r="L286" i="1"/>
  <c r="L287" i="1"/>
  <c r="E123" i="2"/>
  <c r="L288" i="1"/>
  <c r="L289" i="1"/>
  <c r="L296" i="1"/>
  <c r="L297" i="1"/>
  <c r="L298" i="1"/>
  <c r="L299" i="1"/>
  <c r="L301" i="1"/>
  <c r="L302" i="1"/>
  <c r="L303" i="1"/>
  <c r="L304" i="1"/>
  <c r="L305" i="1"/>
  <c r="L306" i="1"/>
  <c r="L307" i="1"/>
  <c r="L308" i="1"/>
  <c r="L317" i="1"/>
  <c r="L318" i="1"/>
  <c r="L320" i="1"/>
  <c r="L321" i="1"/>
  <c r="L322" i="1"/>
  <c r="L323" i="1"/>
  <c r="L324" i="1"/>
  <c r="L325" i="1"/>
  <c r="L326" i="1"/>
  <c r="H663" i="1"/>
  <c r="L327" i="1"/>
  <c r="L334" i="1"/>
  <c r="L335" i="1"/>
  <c r="L336" i="1"/>
  <c r="L261" i="1"/>
  <c r="L262" i="1"/>
  <c r="C132" i="2"/>
  <c r="L342" i="1"/>
  <c r="C32" i="10"/>
  <c r="L343" i="1"/>
  <c r="L256" i="1"/>
  <c r="L337" i="1"/>
  <c r="E130" i="2"/>
  <c r="C11" i="13"/>
  <c r="C10" i="13"/>
  <c r="C9" i="13"/>
  <c r="L362" i="1"/>
  <c r="B4" i="12"/>
  <c r="B36" i="12"/>
  <c r="C36" i="12"/>
  <c r="B40" i="12"/>
  <c r="C40" i="12"/>
  <c r="A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F2" i="11"/>
  <c r="L614" i="1"/>
  <c r="H664" i="1"/>
  <c r="L613" i="1"/>
  <c r="G664" i="1"/>
  <c r="L612" i="1"/>
  <c r="F664" i="1"/>
  <c r="C40" i="10"/>
  <c r="F60" i="1"/>
  <c r="G60" i="1"/>
  <c r="H60" i="1"/>
  <c r="E56" i="2"/>
  <c r="I60" i="1"/>
  <c r="F79" i="1"/>
  <c r="C57" i="2"/>
  <c r="F94" i="1"/>
  <c r="F111" i="1"/>
  <c r="G111" i="1"/>
  <c r="H79" i="1"/>
  <c r="H94" i="1"/>
  <c r="H111" i="1"/>
  <c r="I111" i="1"/>
  <c r="I112" i="1"/>
  <c r="J111" i="1"/>
  <c r="J112" i="1"/>
  <c r="F121" i="1"/>
  <c r="F136" i="1"/>
  <c r="G121" i="1"/>
  <c r="G136" i="1"/>
  <c r="H121" i="1"/>
  <c r="H136" i="1"/>
  <c r="H140" i="1"/>
  <c r="I121" i="1"/>
  <c r="I136" i="1"/>
  <c r="J121" i="1"/>
  <c r="J136" i="1"/>
  <c r="J140" i="1"/>
  <c r="F147" i="1"/>
  <c r="F170" i="1"/>
  <c r="G147" i="1"/>
  <c r="H147" i="1"/>
  <c r="H170" i="1"/>
  <c r="I147" i="1"/>
  <c r="C12" i="10"/>
  <c r="C13" i="10"/>
  <c r="L251" i="1"/>
  <c r="C113" i="2"/>
  <c r="L333" i="1"/>
  <c r="E113" i="2"/>
  <c r="L255" i="1"/>
  <c r="L269" i="1"/>
  <c r="L270" i="1"/>
  <c r="L350" i="1"/>
  <c r="E142" i="2"/>
  <c r="L351" i="1"/>
  <c r="E143" i="2"/>
  <c r="I666" i="1"/>
  <c r="I671" i="1"/>
  <c r="G663" i="1"/>
  <c r="I670" i="1"/>
  <c r="C42" i="10"/>
  <c r="L375" i="1"/>
  <c r="L376" i="1"/>
  <c r="L377" i="1"/>
  <c r="L378" i="1"/>
  <c r="L379" i="1"/>
  <c r="L380" i="1"/>
  <c r="L381" i="1"/>
  <c r="B2" i="10"/>
  <c r="L345" i="1"/>
  <c r="L346" i="1"/>
  <c r="E135" i="2"/>
  <c r="L347" i="1"/>
  <c r="L348" i="1"/>
  <c r="K352" i="1"/>
  <c r="L522" i="1"/>
  <c r="F550" i="1"/>
  <c r="L523" i="1"/>
  <c r="F551" i="1"/>
  <c r="L524" i="1"/>
  <c r="F552" i="1"/>
  <c r="L527" i="1"/>
  <c r="G550" i="1"/>
  <c r="L528" i="1"/>
  <c r="G551" i="1"/>
  <c r="L529" i="1"/>
  <c r="G552" i="1"/>
  <c r="G553" i="1"/>
  <c r="L532" i="1"/>
  <c r="H550" i="1"/>
  <c r="L533" i="1"/>
  <c r="L535" i="1" s="1"/>
  <c r="L546" i="1" s="1"/>
  <c r="H551" i="1"/>
  <c r="L534" i="1"/>
  <c r="H552" i="1" s="1"/>
  <c r="L537" i="1"/>
  <c r="I550" i="1"/>
  <c r="L538" i="1"/>
  <c r="I551" i="1"/>
  <c r="L539" i="1"/>
  <c r="I552" i="1"/>
  <c r="L542" i="1"/>
  <c r="J550" i="1"/>
  <c r="L543" i="1"/>
  <c r="J551" i="1"/>
  <c r="L544" i="1"/>
  <c r="J552" i="1"/>
  <c r="E132" i="2"/>
  <c r="E131" i="2"/>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D50" i="2"/>
  <c r="E34" i="2"/>
  <c r="F34" i="2"/>
  <c r="C35" i="2"/>
  <c r="D35" i="2"/>
  <c r="E35" i="2"/>
  <c r="F35" i="2"/>
  <c r="I455" i="1"/>
  <c r="J49" i="1"/>
  <c r="G48" i="2"/>
  <c r="I457" i="1"/>
  <c r="J43" i="1"/>
  <c r="I458" i="1"/>
  <c r="J37" i="1"/>
  <c r="G36" i="2"/>
  <c r="I460" i="1"/>
  <c r="J48" i="1"/>
  <c r="G47" i="2"/>
  <c r="C49" i="2"/>
  <c r="D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c r="E13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H19" i="1"/>
  <c r="G620" i="1"/>
  <c r="I19" i="1"/>
  <c r="G621" i="1"/>
  <c r="F32" i="1"/>
  <c r="F52" i="1"/>
  <c r="H618" i="1"/>
  <c r="G32" i="1"/>
  <c r="G52" i="1"/>
  <c r="H619" i="1"/>
  <c r="H32" i="1"/>
  <c r="I32" i="1"/>
  <c r="H51" i="1"/>
  <c r="I51" i="1"/>
  <c r="F178" i="1"/>
  <c r="I178" i="1"/>
  <c r="F184" i="1"/>
  <c r="G184" i="1"/>
  <c r="H184" i="1"/>
  <c r="I184" i="1"/>
  <c r="J184" i="1"/>
  <c r="J193" i="1"/>
  <c r="F189" i="1"/>
  <c r="G189" i="1"/>
  <c r="H189" i="1"/>
  <c r="I189" i="1"/>
  <c r="F212" i="1"/>
  <c r="G212" i="1"/>
  <c r="H212" i="1"/>
  <c r="I212" i="1"/>
  <c r="J212" i="1"/>
  <c r="K212" i="1"/>
  <c r="F230" i="1"/>
  <c r="G230" i="1"/>
  <c r="H230" i="1"/>
  <c r="I230" i="1"/>
  <c r="J230" i="1"/>
  <c r="J248" i="1"/>
  <c r="J258" i="1"/>
  <c r="K230" i="1"/>
  <c r="F248" i="1"/>
  <c r="G248" i="1"/>
  <c r="H248" i="1"/>
  <c r="I248" i="1"/>
  <c r="K248" i="1"/>
  <c r="F257" i="1"/>
  <c r="G257" i="1"/>
  <c r="H257" i="1"/>
  <c r="I257" i="1"/>
  <c r="J257" i="1"/>
  <c r="K257" i="1"/>
  <c r="F291" i="1"/>
  <c r="G291" i="1"/>
  <c r="G329" i="1"/>
  <c r="G339" i="1"/>
  <c r="G353" i="1"/>
  <c r="H291" i="1"/>
  <c r="I291" i="1"/>
  <c r="F310" i="1"/>
  <c r="G310" i="1"/>
  <c r="H310" i="1"/>
  <c r="I310" i="1"/>
  <c r="F329" i="1"/>
  <c r="H329" i="1"/>
  <c r="I329" i="1"/>
  <c r="F338" i="1"/>
  <c r="G338" i="1"/>
  <c r="H338" i="1"/>
  <c r="I338" i="1"/>
  <c r="J338" i="1"/>
  <c r="K338" i="1"/>
  <c r="K339" i="1"/>
  <c r="K353" i="1"/>
  <c r="F363" i="1"/>
  <c r="G363" i="1"/>
  <c r="H363" i="1"/>
  <c r="I363" i="1"/>
  <c r="G635" i="1"/>
  <c r="J363" i="1"/>
  <c r="K363" i="1"/>
  <c r="I369" i="1"/>
  <c r="F370" i="1"/>
  <c r="G370" i="1"/>
  <c r="H370" i="1"/>
  <c r="L382" i="1"/>
  <c r="F383" i="1"/>
  <c r="G383" i="1"/>
  <c r="H383" i="1"/>
  <c r="I383" i="1"/>
  <c r="J383" i="1"/>
  <c r="K383" i="1"/>
  <c r="F394" i="1"/>
  <c r="G394" i="1"/>
  <c r="H394" i="1"/>
  <c r="H402" i="1"/>
  <c r="H409" i="1"/>
  <c r="H645" i="1"/>
  <c r="I394" i="1"/>
  <c r="F402" i="1"/>
  <c r="G402" i="1"/>
  <c r="I402" i="1"/>
  <c r="F408" i="1"/>
  <c r="G408" i="1"/>
  <c r="G409" i="1"/>
  <c r="H646" i="1"/>
  <c r="H408" i="1"/>
  <c r="I408" i="1"/>
  <c r="F409" i="1"/>
  <c r="H644"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F461" i="1"/>
  <c r="G461" i="1"/>
  <c r="H461" i="1"/>
  <c r="F471" i="1"/>
  <c r="G471" i="1"/>
  <c r="H471" i="1"/>
  <c r="I471" i="1"/>
  <c r="J471" i="1"/>
  <c r="F475" i="1"/>
  <c r="G475" i="1"/>
  <c r="H475" i="1"/>
  <c r="H477" i="1"/>
  <c r="H62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c r="H653" i="1"/>
  <c r="G654" i="1"/>
  <c r="H654" i="1"/>
  <c r="G655" i="1"/>
  <c r="H655" i="1"/>
  <c r="H656" i="1"/>
  <c r="J656" i="1"/>
  <c r="G62" i="2"/>
  <c r="I170" i="1"/>
  <c r="G477" i="1"/>
  <c r="F258" i="1"/>
  <c r="C20" i="10"/>
  <c r="I370" i="1"/>
  <c r="H635" i="1"/>
  <c r="L257" i="1"/>
  <c r="H193" i="1"/>
  <c r="H112" i="1"/>
  <c r="H194" i="1"/>
  <c r="G630" i="1"/>
  <c r="J630" i="1"/>
  <c r="C11" i="10"/>
  <c r="A31" i="12"/>
  <c r="E114" i="2"/>
  <c r="E85" i="2"/>
  <c r="E91" i="2"/>
  <c r="L402" i="1"/>
  <c r="C139" i="2"/>
  <c r="C91" i="2"/>
  <c r="H462" i="1"/>
  <c r="H642" i="1"/>
  <c r="J642" i="1"/>
  <c r="F339" i="1"/>
  <c r="F353" i="1"/>
  <c r="L561" i="1"/>
  <c r="J625" i="1"/>
  <c r="G462" i="1"/>
  <c r="H641" i="1"/>
  <c r="E103" i="2"/>
  <c r="D18" i="2"/>
  <c r="L310" i="1"/>
  <c r="I546" i="1"/>
  <c r="F462" i="1"/>
  <c r="H640" i="1"/>
  <c r="J640" i="1"/>
  <c r="K606" i="1"/>
  <c r="G649" i="1"/>
  <c r="H258" i="1"/>
  <c r="H272" i="1"/>
  <c r="I52" i="1"/>
  <c r="H621" i="1"/>
  <c r="J621" i="1"/>
  <c r="D31" i="2"/>
  <c r="D51" i="2"/>
  <c r="E31" i="2"/>
  <c r="C18" i="2"/>
  <c r="F18" i="2"/>
  <c r="L271" i="1"/>
  <c r="F662" i="1"/>
  <c r="F572" i="1"/>
  <c r="L420" i="1"/>
  <c r="D91" i="2"/>
  <c r="D81" i="2"/>
  <c r="E78" i="2"/>
  <c r="G546" i="1"/>
  <c r="J644" i="1"/>
  <c r="J646" i="1"/>
  <c r="F112" i="1"/>
  <c r="L394" i="1"/>
  <c r="C138" i="2"/>
  <c r="L363" i="1"/>
  <c r="B17" i="16"/>
  <c r="B19" i="16"/>
  <c r="B28" i="16"/>
  <c r="H661" i="1"/>
  <c r="H662" i="1"/>
  <c r="H665" i="1"/>
  <c r="H668" i="1"/>
  <c r="E122" i="2"/>
  <c r="H624" i="1"/>
  <c r="J624" i="1"/>
  <c r="B33" i="16"/>
  <c r="L615" i="1"/>
  <c r="K599" i="1"/>
  <c r="G648" i="1"/>
  <c r="K572" i="1"/>
  <c r="L571" i="1"/>
  <c r="H572" i="1"/>
  <c r="L566" i="1"/>
  <c r="L572" i="1"/>
  <c r="I572" i="1"/>
  <c r="K546" i="1"/>
  <c r="H52" i="1"/>
  <c r="H620" i="1"/>
  <c r="C114" i="2"/>
  <c r="G112" i="1"/>
  <c r="B10" i="16"/>
  <c r="E118" i="2"/>
  <c r="F661" i="1"/>
  <c r="H648" i="1"/>
  <c r="J645" i="1"/>
  <c r="J635" i="1"/>
  <c r="G626" i="1"/>
  <c r="L530" i="1"/>
  <c r="H546" i="1"/>
  <c r="G164" i="2"/>
  <c r="G161" i="2"/>
  <c r="G157" i="2"/>
  <c r="G156" i="2"/>
  <c r="G81" i="2"/>
  <c r="C78" i="2"/>
  <c r="C70" i="2"/>
  <c r="C81" i="2"/>
  <c r="F78" i="2"/>
  <c r="F81" i="2"/>
  <c r="D62" i="2"/>
  <c r="D63" i="2"/>
  <c r="E57" i="2"/>
  <c r="E62" i="2"/>
  <c r="E63" i="2"/>
  <c r="C26" i="10"/>
  <c r="C18" i="10"/>
  <c r="J641" i="1"/>
  <c r="J546" i="1"/>
  <c r="I477" i="1"/>
  <c r="H626" i="1"/>
  <c r="J477" i="1"/>
  <c r="H627" i="1"/>
  <c r="F477" i="1"/>
  <c r="H623" i="1"/>
  <c r="J623" i="1"/>
  <c r="L434" i="1"/>
  <c r="L428" i="1"/>
  <c r="I258" i="1"/>
  <c r="I272" i="1"/>
  <c r="K258" i="1"/>
  <c r="K272" i="1"/>
  <c r="G193" i="1"/>
  <c r="B13" i="16"/>
  <c r="F193" i="1"/>
  <c r="J553" i="1"/>
  <c r="I553" i="1"/>
  <c r="K550" i="1"/>
  <c r="F553" i="1"/>
  <c r="L352" i="1"/>
  <c r="F130" i="2"/>
  <c r="F144" i="2" s="1"/>
  <c r="F145" i="2" s="1"/>
  <c r="G170" i="1"/>
  <c r="B12" i="16"/>
  <c r="J618" i="1"/>
  <c r="I25" i="13"/>
  <c r="K551" i="1"/>
  <c r="J272" i="1"/>
  <c r="K501" i="1"/>
  <c r="I461" i="1"/>
  <c r="I453" i="1"/>
  <c r="I447" i="1"/>
  <c r="G643" i="1"/>
  <c r="H339" i="1"/>
  <c r="H353" i="1"/>
  <c r="F272" i="1"/>
  <c r="C123" i="2"/>
  <c r="E109" i="2"/>
  <c r="E115" i="2"/>
  <c r="C56" i="2"/>
  <c r="F663" i="1"/>
  <c r="I663" i="1"/>
  <c r="C25" i="10"/>
  <c r="C21" i="10"/>
  <c r="C17" i="10"/>
  <c r="D19" i="13"/>
  <c r="C19" i="13"/>
  <c r="D14" i="13"/>
  <c r="C14" i="13"/>
  <c r="C62" i="2"/>
  <c r="G22" i="13"/>
  <c r="C22" i="13"/>
  <c r="L540" i="1"/>
  <c r="K504" i="1"/>
  <c r="L383" i="1"/>
  <c r="G637" i="1"/>
  <c r="J637" i="1"/>
  <c r="G258" i="1"/>
  <c r="G272" i="1"/>
  <c r="C142" i="2"/>
  <c r="C111" i="2"/>
  <c r="C15" i="10"/>
  <c r="A13" i="12"/>
  <c r="D29" i="13"/>
  <c r="C29" i="13"/>
  <c r="D12" i="13"/>
  <c r="D5" i="13"/>
  <c r="C5" i="13"/>
  <c r="E8" i="13"/>
  <c r="C8" i="13"/>
  <c r="E128" i="2"/>
  <c r="C12" i="13"/>
  <c r="C35" i="10"/>
  <c r="C29" i="10"/>
  <c r="E81" i="2"/>
  <c r="G650" i="1"/>
  <c r="J650" i="1"/>
  <c r="L545" i="1"/>
  <c r="L525" i="1"/>
  <c r="J339" i="1"/>
  <c r="J353" i="1"/>
  <c r="D127" i="2"/>
  <c r="D128" i="2"/>
  <c r="D145" i="2"/>
  <c r="C124" i="2"/>
  <c r="C122" i="2"/>
  <c r="C118" i="2"/>
  <c r="C19" i="10"/>
  <c r="C16" i="10"/>
  <c r="D17" i="13"/>
  <c r="C17" i="13"/>
  <c r="D7" i="13"/>
  <c r="C7" i="13"/>
  <c r="E16" i="13"/>
  <c r="C16" i="13"/>
  <c r="C10" i="10"/>
  <c r="C109" i="2"/>
  <c r="L230" i="1"/>
  <c r="G24" i="14"/>
  <c r="L338" i="1"/>
  <c r="F62" i="2"/>
  <c r="F63" i="2"/>
  <c r="C23" i="10"/>
  <c r="G163" i="2"/>
  <c r="G162" i="2"/>
  <c r="G160" i="2"/>
  <c r="G159" i="2"/>
  <c r="G158" i="2"/>
  <c r="G103" i="2"/>
  <c r="F103" i="2"/>
  <c r="C103" i="2"/>
  <c r="F91" i="2"/>
  <c r="E50" i="2"/>
  <c r="E51" i="2"/>
  <c r="C50" i="2"/>
  <c r="F31" i="2"/>
  <c r="C31" i="2"/>
  <c r="E18" i="2"/>
  <c r="E144" i="2"/>
  <c r="F50" i="2"/>
  <c r="C24" i="10"/>
  <c r="H31" i="13"/>
  <c r="H33" i="13"/>
  <c r="I339" i="1"/>
  <c r="I353" i="1"/>
  <c r="J651" i="1"/>
  <c r="L408" i="1"/>
  <c r="C140" i="2"/>
  <c r="C141" i="2"/>
  <c r="I193" i="1"/>
  <c r="J655" i="1"/>
  <c r="J654" i="1"/>
  <c r="G21" i="2"/>
  <c r="G31" i="2"/>
  <c r="J32" i="1"/>
  <c r="J435" i="1"/>
  <c r="F435" i="1"/>
  <c r="K435" i="1"/>
  <c r="G134" i="2"/>
  <c r="G144" i="2"/>
  <c r="G145" i="2"/>
  <c r="G31" i="13"/>
  <c r="J194" i="1"/>
  <c r="G647" i="1"/>
  <c r="G140" i="1"/>
  <c r="B11" i="16"/>
  <c r="F140" i="1"/>
  <c r="F194" i="1"/>
  <c r="G63" i="2"/>
  <c r="J619" i="1"/>
  <c r="G42" i="2"/>
  <c r="G50" i="2"/>
  <c r="J51" i="1"/>
  <c r="G16" i="2"/>
  <c r="G18" i="2"/>
  <c r="J19" i="1"/>
  <c r="G622" i="1"/>
  <c r="F546" i="1"/>
  <c r="H435" i="1"/>
  <c r="J620" i="1"/>
  <c r="D103" i="2"/>
  <c r="I140" i="1"/>
  <c r="A22" i="12"/>
  <c r="H649" i="1"/>
  <c r="J653" i="1"/>
  <c r="G572" i="1"/>
  <c r="I435" i="1"/>
  <c r="G435" i="1"/>
  <c r="I664" i="1"/>
  <c r="F51" i="2"/>
  <c r="I36" i="14"/>
  <c r="E145" i="2"/>
  <c r="E104" i="2"/>
  <c r="C36" i="10"/>
  <c r="L435" i="1"/>
  <c r="G639" i="1"/>
  <c r="J639" i="1"/>
  <c r="F665" i="1"/>
  <c r="F668" i="1"/>
  <c r="I662" i="1"/>
  <c r="G104" i="2"/>
  <c r="L339" i="1"/>
  <c r="L353" i="1"/>
  <c r="G634" i="1"/>
  <c r="J634" i="1"/>
  <c r="J649" i="1"/>
  <c r="I194" i="1"/>
  <c r="G631" i="1"/>
  <c r="J631" i="1"/>
  <c r="G636" i="1"/>
  <c r="J636" i="1"/>
  <c r="G51" i="2"/>
  <c r="D104" i="2"/>
  <c r="L409" i="1"/>
  <c r="C27" i="10"/>
  <c r="H673" i="1"/>
  <c r="C6" i="10" s="1"/>
  <c r="J626" i="1"/>
  <c r="F104" i="2"/>
  <c r="B14" i="16"/>
  <c r="B22" i="16"/>
  <c r="G628" i="1"/>
  <c r="J628" i="1"/>
  <c r="E33" i="13"/>
  <c r="D35" i="13"/>
  <c r="J648" i="1"/>
  <c r="L258" i="1"/>
  <c r="L272" i="1"/>
  <c r="G633" i="1"/>
  <c r="J633" i="1"/>
  <c r="C115" i="2"/>
  <c r="C63" i="2"/>
  <c r="C104" i="2"/>
  <c r="C39" i="10"/>
  <c r="G33" i="13"/>
  <c r="C144" i="2"/>
  <c r="C128" i="2"/>
  <c r="D31" i="13"/>
  <c r="C31" i="13"/>
  <c r="I462" i="1"/>
  <c r="H643" i="1"/>
  <c r="J643" i="1"/>
  <c r="G661" i="1"/>
  <c r="G665" i="1"/>
  <c r="G673" i="1"/>
  <c r="C5" i="10"/>
  <c r="C25" i="13"/>
  <c r="I33" i="13"/>
  <c r="C28" i="10"/>
  <c r="D23" i="10"/>
  <c r="C51" i="2"/>
  <c r="G632" i="1"/>
  <c r="J632" i="1"/>
  <c r="G194" i="1"/>
  <c r="G629" i="1"/>
  <c r="J629" i="1"/>
  <c r="G627" i="1"/>
  <c r="J627" i="1"/>
  <c r="J52" i="1"/>
  <c r="H622" i="1"/>
  <c r="J622" i="1"/>
  <c r="C38" i="10"/>
  <c r="F673" i="1"/>
  <c r="C4" i="10" s="1"/>
  <c r="I661" i="1"/>
  <c r="I665" i="1"/>
  <c r="I673" i="1"/>
  <c r="C7" i="10" s="1"/>
  <c r="G668" i="1"/>
  <c r="C145" i="2"/>
  <c r="D25" i="10"/>
  <c r="G638" i="1"/>
  <c r="J638" i="1"/>
  <c r="H647" i="1"/>
  <c r="J647" i="1"/>
  <c r="D22" i="10"/>
  <c r="D18" i="10"/>
  <c r="D27" i="10"/>
  <c r="D15" i="10"/>
  <c r="D21" i="10"/>
  <c r="D24" i="10"/>
  <c r="D20" i="10"/>
  <c r="D11" i="10"/>
  <c r="D12" i="10"/>
  <c r="D13" i="10"/>
  <c r="D17" i="10"/>
  <c r="D19" i="10"/>
  <c r="D10" i="10"/>
  <c r="D26" i="10"/>
  <c r="C30" i="10"/>
  <c r="D16" i="10"/>
  <c r="D33" i="13"/>
  <c r="D36" i="13"/>
  <c r="H657" i="1"/>
  <c r="C41" i="10"/>
  <c r="D38" i="10"/>
  <c r="I668" i="1"/>
  <c r="D28" i="10"/>
  <c r="D37" i="10"/>
  <c r="D36" i="10"/>
  <c r="D35" i="10"/>
  <c r="D40" i="10"/>
  <c r="D39" i="10"/>
  <c r="D41" i="10"/>
  <c r="K552" i="1" l="1"/>
  <c r="K553" i="1" s="1"/>
  <c r="H553"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<sst xmlns="http://schemas.openxmlformats.org/spreadsheetml/2006/main" count="5585" uniqueCount="1685">
  <si>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</si>
  <si>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</si>
  <si>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</si>
  <si>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</si>
  <si>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</si>
  <si>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</si>
  <si>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</si>
  <si>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</si>
  <si>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</si>
  <si>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</si>
  <si>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</si>
  <si>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</si>
  <si>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</si>
  <si>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</si>
  <si>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</si>
  <si>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</si>
  <si>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</si>
  <si>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</si>
  <si>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</si>
  <si>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</si>
  <si>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</si>
  <si>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</si>
  <si>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</si>
  <si>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</si>
  <si>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</si>
  <si>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</si>
  <si>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</si>
  <si>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</si>
  <si>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</si>
  <si>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</si>
  <si>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</si>
  <si>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</si>
  <si>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</si>
  <si>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</si>
  <si>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</si>
  <si>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</si>
  <si>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</si>
  <si>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</si>
  <si>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</si>
  <si>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</si>
  <si>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</si>
  <si>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</si>
  <si>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</si>
  <si>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</si>
  <si>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</si>
  <si>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</si>
  <si>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</si>
  <si>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</si>
  <si>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</si>
  <si>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</si>
  <si>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</si>
  <si>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</si>
  <si>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</si>
  <si>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</si>
  <si>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</si>
  <si>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</si>
  <si>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</si>
  <si>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</si>
  <si>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</si>
  <si>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</si>
  <si>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</si>
  <si>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</si>
  <si>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</si>
  <si>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</si>
  <si>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</si>
  <si>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</si>
  <si>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</si>
  <si>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</si>
  <si>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</si>
  <si>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</si>
  <si>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</si>
  <si>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</si>
  <si>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</si>
  <si>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</si>
  <si>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</si>
  <si>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</si>
  <si>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</si>
  <si>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</si>
  <si>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</si>
  <si>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</si>
  <si>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</si>
  <si>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</si>
  <si>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</si>
  <si>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</si>
  <si>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</si>
  <si>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</si>
  <si>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</si>
  <si>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</si>
  <si>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</si>
  <si>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</si>
  <si>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</si>
  <si>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</si>
  <si>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</si>
  <si>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</si>
  <si>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</si>
  <si>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</si>
  <si>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</si>
  <si>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</si>
  <si>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</si>
  <si>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</si>
  <si>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</si>
  <si>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</si>
  <si>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</si>
  <si>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</si>
  <si>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</si>
  <si>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</si>
  <si>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</si>
  <si>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</si>
  <si>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</si>
  <si>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</si>
  <si>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</si>
  <si>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</si>
  <si>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</si>
  <si>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</si>
  <si>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</si>
  <si>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</si>
  <si>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</si>
  <si>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</si>
  <si>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</si>
  <si>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</si>
  <si>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</si>
  <si>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</si>
  <si>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</si>
  <si>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</si>
  <si>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</si>
  <si>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</si>
  <si>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</si>
  <si>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</si>
  <si>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</si>
  <si>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</si>
  <si>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</si>
  <si>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</si>
  <si>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</si>
  <si>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</si>
  <si>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</si>
  <si>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</si>
  <si>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</si>
  <si>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</si>
  <si>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</si>
  <si>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</si>
  <si>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</si>
  <si>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</si>
  <si>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</si>
  <si>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</si>
  <si>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</si>
  <si>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</si>
  <si>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</si>
  <si>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</si>
  <si>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</si>
  <si>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</si>
  <si>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</si>
  <si>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</si>
  <si>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</si>
  <si>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</si>
  <si>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</si>
  <si>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</si>
  <si>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</si>
  <si>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</si>
  <si>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</si>
  <si>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</si>
  <si>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</si>
  <si>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</si>
  <si>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</si>
  <si>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</si>
  <si>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</si>
  <si>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</si>
  <si>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</si>
  <si>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</si>
  <si>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</si>
  <si>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</si>
  <si>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</si>
  <si>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</si>
  <si>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</si>
  <si>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</si>
  <si>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</si>
  <si>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</si>
  <si>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</si>
  <si>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</si>
  <si>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</si>
  <si>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</si>
  <si>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</si>
  <si>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</si>
  <si>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</si>
  <si>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</si>
  <si>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</si>
  <si>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</si>
  <si>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</si>
  <si>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</si>
  <si>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</si>
  <si>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</si>
  <si>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</si>
  <si>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</si>
  <si>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</si>
  <si>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</si>
  <si>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</si>
  <si>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</si>
  <si>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</si>
  <si>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</si>
  <si>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</si>
  <si>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</si>
  <si>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</si>
  <si>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</si>
  <si>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</si>
  <si>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</si>
  <si>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</si>
  <si>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</si>
  <si>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</si>
  <si>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</si>
  <si>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</si>
  <si>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</si>
  <si>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</si>
  <si>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</si>
  <si>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</si>
  <si>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</si>
  <si>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</si>
  <si>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</si>
  <si>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</si>
  <si>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</si>
  <si>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</si>
  <si>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</si>
  <si>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</si>
  <si>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</si>
  <si>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</si>
  <si>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</si>
  <si>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</si>
  <si>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</si>
  <si>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</si>
  <si>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</si>
  <si>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</si>
  <si>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</si>
  <si>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</si>
  <si>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</si>
  <si>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</si>
  <si>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</si>
  <si>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</si>
  <si>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</si>
  <si>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</si>
  <si>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</si>
  <si>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</si>
  <si>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</si>
  <si>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</si>
  <si>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</si>
  <si>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</si>
  <si>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</si>
  <si>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</si>
  <si>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</si>
  <si>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</si>
  <si>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</si>
  <si>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</si>
  <si>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</si>
  <si>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</si>
  <si>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</si>
  <si>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</si>
  <si>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</si>
  <si>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</si>
  <si>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</si>
  <si>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</si>
  <si>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</si>
  <si>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</si>
  <si>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</si>
  <si>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</si>
  <si>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</si>
  <si>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</si>
  <si>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</si>
  <si>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</si>
  <si>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</si>
  <si>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</si>
  <si>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</si>
  <si>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</si>
  <si>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</si>
  <si>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</si>
  <si>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</si>
  <si>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</si>
  <si>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</si>
  <si>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</si>
  <si>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</si>
  <si>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</si>
  <si>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</si>
  <si>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</si>
  <si>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</si>
  <si>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</si>
  <si>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</si>
  <si>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</si>
  <si>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</si>
  <si>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</si>
  <si>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</si>
  <si>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</si>
  <si>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</si>
  <si>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</si>
  <si>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</si>
  <si>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</si>
  <si>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</si>
  <si>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</si>
  <si>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</si>
  <si>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</si>
  <si>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</si>
  <si>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</si>
  <si>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</si>
  <si>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</si>
  <si>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</si>
  <si>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</si>
  <si>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</si>
  <si>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</si>
  <si>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</si>
  <si>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</si>
  <si>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</si>
  <si>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</si>
  <si>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</si>
  <si>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</si>
  <si>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</si>
  <si>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</si>
  <si>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</si>
  <si>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</si>
  <si>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</si>
  <si>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</si>
  <si>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</si>
  <si>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</si>
  <si>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</si>
  <si>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</si>
  <si>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</si>
  <si>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</si>
  <si>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</si>
  <si>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</si>
  <si>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</si>
  <si>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</si>
  <si>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</si>
  <si>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</si>
  <si>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</si>
  <si>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</si>
  <si>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</si>
  <si>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</si>
  <si>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</si>
  <si>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</si>
  <si>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</si>
  <si>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</si>
  <si>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</si>
  <si>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</si>
  <si>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</si>
  <si>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</si>
  <si>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</si>
  <si>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</si>
  <si>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</si>
  <si>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</si>
  <si>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</si>
  <si>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</si>
  <si>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</si>
  <si>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</si>
  <si>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</si>
  <si>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</si>
  <si>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</si>
  <si>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</si>
  <si>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</si>
  <si>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</si>
  <si>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</si>
  <si>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</si>
  <si>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</si>
  <si>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</si>
  <si>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</si>
  <si>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</si>
  <si>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</si>
  <si>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</si>
  <si>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</si>
  <si>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</si>
  <si>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</si>
  <si>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</si>
  <si>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</si>
  <si>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</si>
  <si>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</si>
  <si>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</si>
  <si>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</si>
  <si>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</si>
  <si>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</si>
  <si>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</si>
  <si>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</si>
  <si>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</si>
  <si>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</si>
  <si>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</si>
  <si>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</si>
  <si>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</si>
  <si>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</si>
  <si>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</si>
  <si>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</si>
  <si>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</si>
  <si>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</si>
  <si>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</si>
  <si>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</si>
  <si>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</si>
  <si>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</si>
  <si>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</si>
  <si>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</si>
  <si>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</si>
  <si>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</si>
  <si>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</si>
  <si>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</si>
  <si>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</si>
  <si>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</si>
  <si>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</si>
  <si>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</si>
  <si>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</si>
  <si>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</si>
  <si>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</si>
  <si>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</si>
  <si>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</si>
  <si>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</si>
  <si>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</si>
  <si>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</si>
  <si>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</si>
  <si>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</si>
  <si>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</si>
  <si>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</si>
  <si>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</si>
  <si>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</si>
  <si>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</si>
  <si>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</si>
  <si>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</si>
  <si>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</si>
  <si>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</si>
  <si>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</si>
  <si>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</si>
  <si>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</si>
  <si>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</si>
  <si>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</si>
  <si>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</si>
  <si>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</si>
  <si>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</si>
  <si>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</si>
  <si>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</si>
  <si>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</si>
  <si>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</si>
  <si>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</si>
  <si>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</si>
  <si>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</si>
  <si>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</si>
  <si>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</si>
  <si>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</si>
  <si>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</si>
  <si>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</si>
  <si>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</si>
  <si>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</si>
  <si>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</si>
  <si>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</si>
  <si>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</si>
  <si>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</si>
  <si>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</si>
  <si>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</si>
  <si>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</si>
  <si>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</si>
  <si>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</si>
  <si>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</si>
  <si>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</si>
  <si>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</si>
  <si>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</si>
  <si>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</si>
  <si>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</si>
  <si>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</si>
  <si>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</si>
  <si>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</si>
  <si>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</si>
  <si>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</si>
  <si>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</si>
  <si>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</si>
  <si>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</si>
  <si>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</si>
  <si>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</si>
  <si>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</si>
  <si>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</si>
  <si>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</si>
  <si>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</si>
  <si>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</si>
  <si>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</si>
  <si>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</si>
  <si>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</si>
  <si>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</si>
  <si>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</si>
  <si>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</si>
  <si>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</si>
  <si>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</si>
  <si>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</si>
  <si>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</si>
  <si>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</si>
  <si>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</si>
  <si>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</si>
  <si>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</si>
  <si>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</si>
  <si>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</si>
  <si>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</si>
  <si>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</si>
  <si>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</si>
  <si>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</si>
  <si>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</si>
  <si>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</si>
  <si>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</si>
  <si>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</si>
  <si>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</si>
  <si>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</si>
  <si>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</si>
  <si>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</si>
  <si>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</si>
  <si>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</si>
  <si>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</si>
  <si>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</si>
  <si>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</si>
  <si>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</si>
  <si>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</si>
  <si>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</si>
  <si>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</si>
  <si>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</si>
  <si>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</si>
  <si>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</si>
  <si>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</si>
  <si>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</si>
  <si>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</si>
  <si>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</si>
  <si>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</si>
  <si>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</si>
  <si>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</si>
  <si>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</si>
  <si>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</si>
  <si>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</si>
  <si>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</si>
  <si>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</si>
  <si>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</si>
  <si>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</si>
  <si>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</si>
  <si>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</si>
  <si>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</si>
  <si>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</si>
  <si>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</si>
  <si>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</si>
  <si>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</si>
  <si>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</si>
  <si>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</si>
  <si>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</si>
  <si>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</si>
  <si>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</si>
  <si>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</si>
  <si>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</si>
  <si>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</si>
  <si>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</si>
  <si>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</si>
  <si>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</si>
  <si>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</si>
  <si>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</si>
  <si>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</si>
  <si>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</si>
  <si>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</si>
  <si>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</si>
  <si>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</si>
  <si>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</si>
  <si>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</si>
  <si>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</si>
  <si>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</si>
  <si>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</si>
  <si>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</si>
  <si>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</si>
  <si>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</si>
  <si>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</si>
  <si>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</si>
  <si>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</si>
  <si>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</si>
  <si>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</si>
  <si>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</si>
  <si>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</si>
  <si>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</si>
  <si>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</si>
  <si>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</si>
  <si>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</si>
  <si>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</si>
  <si>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</si>
  <si>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</si>
  <si>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</si>
  <si>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</si>
  <si>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</si>
  <si>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</si>
  <si>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</si>
  <si>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</si>
  <si>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</si>
  <si>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</si>
  <si>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</si>
  <si>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</si>
  <si>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</si>
  <si>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</si>
  <si>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</si>
  <si>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</si>
  <si>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</si>
  <si>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</si>
  <si>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</si>
  <si>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</si>
  <si>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</si>
  <si>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</si>
  <si>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</si>
  <si>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</si>
  <si>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</si>
  <si>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</si>
  <si>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</si>
  <si>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</si>
  <si>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</si>
  <si>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</si>
  <si>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</si>
  <si>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</si>
  <si>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</si>
  <si>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</si>
  <si>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</si>
  <si>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</si>
  <si>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</si>
  <si>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</si>
  <si>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</si>
  <si>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</si>
  <si>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</si>
  <si>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</si>
  <si>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</si>
  <si>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</si>
  <si>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</si>
  <si>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</si>
  <si>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</si>
  <si>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</si>
  <si>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</si>
  <si>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</si>
  <si>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</si>
  <si>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</si>
  <si>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</si>
  <si>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</si>
  <si>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</si>
  <si>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</si>
  <si>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</si>
  <si>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</si>
  <si>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</si>
  <si>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</si>
  <si>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</si>
  <si>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</si>
  <si>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</si>
  <si>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</si>
  <si>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</si>
  <si>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</si>
  <si>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</si>
  <si>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</si>
  <si>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</si>
  <si>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</si>
  <si>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</si>
  <si>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</si>
  <si>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</si>
  <si>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</si>
  <si>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</si>
  <si>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</si>
  <si>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</si>
  <si>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</si>
  <si>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</si>
  <si>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</si>
  <si>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</si>
  <si>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</si>
  <si>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</si>
  <si>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</si>
  <si>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</si>
  <si>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</si>
  <si>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</si>
  <si>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</si>
  <si>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</si>
  <si>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</si>
  <si>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</si>
  <si>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</si>
  <si>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</si>
  <si>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</si>
  <si>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</si>
  <si>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</si>
  <si>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</si>
  <si>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</si>
  <si>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</si>
  <si>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</si>
  <si>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</si>
  <si>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</si>
  <si>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</si>
  <si>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</si>
  <si>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</si>
  <si>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</si>
  <si>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</si>
  <si>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</si>
  <si>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</si>
  <si>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</si>
  <si>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</si>
  <si>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</si>
  <si>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</si>
  <si>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</si>
  <si>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</si>
  <si>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</si>
  <si>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</si>
  <si>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</si>
  <si>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</si>
  <si>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</si>
  <si>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</si>
  <si>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</si>
  <si>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</si>
  <si>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</si>
  <si>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</si>
  <si>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</si>
  <si>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</si>
  <si>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</si>
  <si>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</si>
  <si>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</si>
  <si>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</si>
  <si>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</si>
  <si>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</si>
  <si>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</si>
  <si>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</si>
  <si>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</si>
  <si>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</si>
  <si>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</si>
  <si>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</si>
  <si>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</si>
  <si>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</si>
  <si>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</si>
  <si>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</si>
  <si>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</si>
  <si>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</si>
  <si>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</si>
  <si>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</si>
  <si>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</si>
  <si>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</si>
  <si>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</si>
  <si>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</si>
  <si>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</si>
  <si>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</si>
  <si>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</si>
  <si>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</si>
  <si>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</si>
  <si>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</si>
  <si>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</si>
  <si>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</si>
  <si>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</si>
  <si>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</si>
  <si>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</si>
  <si>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</si>
  <si>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</si>
  <si>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</si>
  <si>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</si>
  <si>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</si>
  <si>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</si>
  <si>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</si>
  <si>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</si>
  <si>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</si>
  <si>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</si>
  <si>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</si>
  <si>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</si>
  <si>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</si>
  <si>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</si>
  <si>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</si>
  <si>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</si>
  <si>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</si>
  <si>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</si>
  <si>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</si>
  <si>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</si>
  <si>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</si>
  <si>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</si>
  <si>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</si>
  <si>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</si>
  <si>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</si>
  <si>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</si>
  <si>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</si>
  <si>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</si>
  <si>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</si>
  <si>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</si>
  <si>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</si>
  <si>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</si>
  <si>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</si>
  <si>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</si>
  <si>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</si>
  <si>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</si>
  <si>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</si>
  <si>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</si>
  <si>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</si>
  <si>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</si>
  <si>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</si>
  <si>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</si>
  <si>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</si>
  <si>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</si>
  <si>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</si>
  <si>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</si>
  <si>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</si>
  <si>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</si>
  <si>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</si>
  <si>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</si>
  <si>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</si>
  <si>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</si>
  <si>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</si>
  <si>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</si>
  <si>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</si>
  <si>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</si>
  <si>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</si>
  <si>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</si>
  <si>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</si>
  <si>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</si>
  <si>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</si>
  <si>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</si>
  <si>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</si>
  <si>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</si>
  <si>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</si>
  <si>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</si>
  <si>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</si>
  <si>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</si>
  <si>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</si>
  <si>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</si>
  <si>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</si>
  <si>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</si>
  <si>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</si>
  <si>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</si>
  <si>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</si>
  <si>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</si>
  <si>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</si>
  <si>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</si>
  <si>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</si>
  <si>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</si>
  <si>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</si>
  <si>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</si>
  <si>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</si>
  <si>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</si>
  <si>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</si>
  <si>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</si>
  <si>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</si>
  <si>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</si>
  <si>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</si>
  <si>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</si>
  <si>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</si>
  <si>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</si>
  <si>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</si>
  <si>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</si>
  <si>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</si>
  <si>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</si>
  <si>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</si>
  <si>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</si>
  <si>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</si>
  <si>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</si>
  <si>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</si>
  <si>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</si>
  <si>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</si>
  <si>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</si>
  <si>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</si>
  <si>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</si>
  <si>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</si>
  <si>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</si>
  <si>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</si>
  <si>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</si>
  <si>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</si>
  <si>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</si>
  <si>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</si>
  <si>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</si>
  <si>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</si>
  <si>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</si>
  <si>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</si>
  <si>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</si>
  <si>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</si>
  <si>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</si>
  <si>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</si>
  <si>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</si>
  <si>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</si>
  <si>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</si>
  <si>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</si>
  <si>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</si>
  <si>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</si>
  <si>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</si>
  <si>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</si>
  <si>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</si>
  <si>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</si>
  <si>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</si>
  <si>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</si>
  <si>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</si>
  <si>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</si>
  <si>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</si>
  <si>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</si>
  <si>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</si>
  <si>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</si>
  <si>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</si>
  <si>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</si>
  <si>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</si>
  <si>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</si>
  <si>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</si>
  <si>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</si>
  <si>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</si>
  <si>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</si>
  <si>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</si>
  <si>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</si>
  <si>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</si>
  <si>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</si>
  <si>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</si>
  <si>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</si>
  <si>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</si>
  <si>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</si>
  <si>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</si>
  <si>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</si>
  <si>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</si>
  <si>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</si>
  <si>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</si>
  <si>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</si>
  <si>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</si>
  <si>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</si>
  <si>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</si>
  <si>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</si>
  <si>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</si>
  <si>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</si>
  <si>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</si>
  <si>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</si>
  <si>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</si>
  <si>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</si>
  <si>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</si>
  <si>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</si>
  <si>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</si>
  <si>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</si>
  <si>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</si>
  <si>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</si>
  <si>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</si>
  <si>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</si>
  <si>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</si>
  <si>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</si>
  <si>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</si>
  <si>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</si>
  <si>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</si>
  <si>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</si>
  <si>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</si>
  <si>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</si>
  <si>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</si>
  <si>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</si>
  <si>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</si>
  <si>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</si>
  <si>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</si>
  <si>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</si>
  <si>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</si>
  <si>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</si>
  <si>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</si>
  <si>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</si>
  <si>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</si>
  <si>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</si>
  <si>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</si>
  <si>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</si>
  <si>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</si>
  <si>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</si>
  <si>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</si>
  <si>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</si>
  <si>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</si>
  <si>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</si>
  <si>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</si>
  <si>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</si>
  <si>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</si>
  <si>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</si>
  <si>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</si>
  <si>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</si>
  <si>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</si>
  <si>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</si>
  <si>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</si>
  <si>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</si>
  <si>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</si>
  <si>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</si>
  <si>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</si>
  <si>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</si>
  <si>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</si>
  <si>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</si>
  <si>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</si>
  <si>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</si>
  <si>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</si>
  <si>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</si>
  <si>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</si>
  <si>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</si>
  <si>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</si>
  <si>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</si>
  <si>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</si>
  <si>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</si>
  <si>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</si>
  <si>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</si>
  <si>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</si>
  <si>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</si>
  <si>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</si>
  <si>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</si>
  <si>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</si>
  <si>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</si>
  <si>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</si>
  <si>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</si>
  <si>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</si>
  <si>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</si>
  <si>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</si>
  <si>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</si>
  <si>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</si>
  <si>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</si>
  <si>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</si>
  <si>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</si>
  <si>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</si>
  <si>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</si>
  <si>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</si>
  <si>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</si>
  <si>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</si>
  <si>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</si>
  <si>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</si>
  <si>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</si>
  <si>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</si>
  <si>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</si>
  <si>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</si>
  <si>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</si>
  <si>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</si>
  <si>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</si>
  <si>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</si>
  <si>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</si>
  <si>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</si>
  <si>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</si>
  <si>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</si>
  <si>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</si>
  <si>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</si>
  <si>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</si>
  <si>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</si>
  <si>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</si>
  <si>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</si>
  <si>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</si>
  <si>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</si>
  <si>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</si>
  <si>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</si>
  <si>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</si>
  <si>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</si>
  <si>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</si>
  <si>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</si>
  <si>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</si>
  <si>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</si>
  <si>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</si>
  <si>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</si>
  <si>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</si>
  <si>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</si>
  <si>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</si>
  <si>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</si>
  <si>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</si>
  <si>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</si>
  <si>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</si>
  <si>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</si>
  <si>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</si>
  <si>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</si>
  <si>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</si>
  <si>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</si>
  <si>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</si>
  <si>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</si>
  <si>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</si>
  <si>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</si>
  <si>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</si>
  <si>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</si>
  <si>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</si>
  <si>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</si>
  <si>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</si>
  <si>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</si>
  <si>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</si>
  <si>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</si>
  <si>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</si>
  <si>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</si>
  <si>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</si>
  <si>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</si>
  <si>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</si>
  <si>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</si>
  <si>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</si>
  <si>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</si>
  <si>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</si>
  <si>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</si>
  <si>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</si>
  <si>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</si>
  <si>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</si>
  <si>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</si>
  <si>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</si>
  <si>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</si>
  <si>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</si>
  <si>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</si>
  <si>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</si>
  <si>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</si>
  <si>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</si>
  <si>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</si>
  <si>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</si>
  <si>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</si>
  <si>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</si>
  <si>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</si>
  <si>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</si>
  <si>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</si>
  <si>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</si>
  <si>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</si>
  <si>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</si>
  <si>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</si>
  <si>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</si>
  <si>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</si>
  <si>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</si>
  <si>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</si>
  <si>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</si>
  <si>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</si>
  <si>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</si>
  <si>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</si>
  <si>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</si>
  <si>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</si>
  <si>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</si>
  <si>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</si>
  <si>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</si>
  <si>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</si>
  <si>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</si>
  <si>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</si>
  <si>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</si>
  <si>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</si>
  <si>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</si>
  <si>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</si>
  <si>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</si>
  <si>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</si>
  <si>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</si>
  <si>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</si>
  <si>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</si>
  <si>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</si>
  <si>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</si>
  <si>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</si>
  <si>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</si>
  <si>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</si>
  <si>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</si>
  <si>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</si>
  <si>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</si>
  <si>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</si>
  <si>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</si>
  <si>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</si>
  <si>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</si>
  <si>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</si>
  <si>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</si>
  <si>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</si>
  <si>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</si>
  <si>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</si>
  <si>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</si>
  <si>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</si>
  <si>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</si>
  <si>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</si>
  <si>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</si>
  <si>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</si>
  <si>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</si>
  <si>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</si>
  <si>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</si>
  <si>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</si>
  <si>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</si>
  <si>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</si>
  <si>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</si>
  <si>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</si>
  <si>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</si>
  <si>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</si>
  <si>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</si>
  <si>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</si>
  <si>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</si>
  <si>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</si>
  <si>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</si>
  <si>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</si>
  <si>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</si>
  <si>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</si>
  <si>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</si>
  <si>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</si>
  <si>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</si>
  <si>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</si>
  <si>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</si>
  <si>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</si>
  <si>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</si>
  <si>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</si>
  <si>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</si>
  <si>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</si>
  <si>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</si>
  <si>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</si>
  <si>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</si>
  <si>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</si>
  <si>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</si>
  <si>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</si>
  <si>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</si>
  <si>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</si>
  <si>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</si>
  <si>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</si>
  <si>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</si>
  <si>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</si>
  <si>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</si>
  <si>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</si>
  <si>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</si>
  <si>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</si>
  <si>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</si>
  <si>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</si>
  <si>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</si>
  <si>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</si>
  <si>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</si>
  <si>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</si>
  <si>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</si>
  <si>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</si>
  <si>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</si>
  <si>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</si>
  <si>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</si>
  <si>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</si>
  <si>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</si>
  <si>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</si>
  <si>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</si>
  <si>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</si>
  <si>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</si>
  <si>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</si>
  <si>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</si>
  <si>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</si>
  <si>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</si>
  <si>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</si>
  <si>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</si>
  <si>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</si>
  <si>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</si>
  <si>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</si>
  <si>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</si>
  <si>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</si>
  <si>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</si>
  <si>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</si>
  <si>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</si>
  <si>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</si>
  <si>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</si>
  <si>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</si>
  <si>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</si>
  <si>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</si>
  <si>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</si>
  <si>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</si>
  <si>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</si>
  <si>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</si>
  <si>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</si>
  <si>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</si>
  <si>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</si>
  <si>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</si>
  <si>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</si>
  <si>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</si>
  <si>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</si>
  <si>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</si>
  <si>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</si>
  <si>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</si>
  <si>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</si>
  <si>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</si>
  <si>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</si>
  <si>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</si>
  <si>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</si>
  <si>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</si>
  <si>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</si>
  <si>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</si>
  <si>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</si>
  <si>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</si>
  <si>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</si>
  <si>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</si>
  <si>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</si>
  <si>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</si>
  <si>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</si>
  <si>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</si>
  <si>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</si>
  <si>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</si>
  <si>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</si>
  <si>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</si>
  <si>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</si>
  <si>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</si>
  <si>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</si>
  <si>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</si>
  <si>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</si>
  <si>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</si>
  <si>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</si>
  <si>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</si>
  <si>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</si>
  <si>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</si>
  <si>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</si>
  <si>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</si>
  <si>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</si>
  <si>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</si>
  <si>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</si>
  <si>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</si>
  <si>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</si>
  <si>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</si>
  <si>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</si>
  <si>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</si>
  <si>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</si>
  <si>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</si>
  <si>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</si>
  <si>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</si>
  <si>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</si>
  <si>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</si>
  <si>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</si>
  <si>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</si>
  <si>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</si>
  <si>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</si>
  <si>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</si>
  <si>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</si>
  <si>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</si>
  <si>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</si>
  <si>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</si>
  <si>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</si>
  <si>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</si>
  <si>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</si>
  <si>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</si>
  <si>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</si>
  <si>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</si>
  <si>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</si>
  <si>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</si>
  <si>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</si>
  <si>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</si>
  <si>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</si>
  <si>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</si>
  <si>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</si>
  <si>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</si>
  <si>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</si>
  <si>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</si>
  <si>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</si>
  <si>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</si>
  <si>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</si>
  <si>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</si>
  <si>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</si>
  <si>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</si>
  <si>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</si>
  <si>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</si>
  <si>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</si>
  <si>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</si>
  <si>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</si>
  <si>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</si>
  <si>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</si>
  <si>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</si>
  <si>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</si>
  <si>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</si>
  <si>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</si>
  <si>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</si>
  <si>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</si>
  <si>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</si>
  <si>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</si>
  <si>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</si>
  <si>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</si>
  <si>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</si>
  <si>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</si>
  <si>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</si>
  <si>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</si>
  <si>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</si>
  <si>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</si>
  <si>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</si>
  <si>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</si>
  <si>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</si>
  <si>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</si>
  <si>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</si>
  <si>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</si>
  <si>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</si>
  <si>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</si>
  <si>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</si>
  <si>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</si>
  <si>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</si>
  <si>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</si>
  <si>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</si>
  <si>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</si>
  <si>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</si>
  <si>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</si>
  <si>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</si>
  <si>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</si>
  <si>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</si>
  <si>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</si>
  <si>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</si>
  <si>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</si>
  <si>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</si>
  <si>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</si>
  <si>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</si>
  <si>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</si>
  <si>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</si>
  <si>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</si>
  <si>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</si>
  <si>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</si>
  <si>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</si>
  <si>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</si>
  <si>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</si>
  <si>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</si>
  <si>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</si>
  <si>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</si>
  <si>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</si>
  <si>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</si>
  <si>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</si>
  <si>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</si>
  <si>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</si>
  <si>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</si>
  <si>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</si>
  <si>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</si>
  <si>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</si>
  <si>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</si>
  <si>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</si>
  <si>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</si>
  <si>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</si>
  <si>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</si>
  <si>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</si>
  <si>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</si>
  <si>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</si>
  <si>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</si>
  <si>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</si>
  <si>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</si>
  <si>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</si>
  <si>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</si>
  <si>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</si>
  <si>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</si>
  <si>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</si>
  <si>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</si>
  <si>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</si>
  <si>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</si>
  <si>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</si>
  <si>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</si>
  <si>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</si>
  <si>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</si>
  <si>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</si>
  <si>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</si>
  <si>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</si>
  <si>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</si>
  <si>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</si>
  <si>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</si>
  <si>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</si>
  <si>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</si>
  <si>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</si>
  <si>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</si>
  <si>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</si>
  <si>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</si>
  <si>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</si>
  <si>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</si>
  <si>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</si>
  <si>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</si>
  <si>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</si>
  <si>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</si>
  <si>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</si>
  <si>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</si>
  <si>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</si>
  <si>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</si>
  <si>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</si>
  <si>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</si>
  <si>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</si>
  <si>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</si>
  <si>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</si>
  <si>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</si>
  <si>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</si>
  <si>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</si>
  <si>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</si>
  <si>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</si>
  <si>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</si>
  <si>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</si>
  <si>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</si>
  <si>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</si>
  <si>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</si>
  <si>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</si>
  <si>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</si>
  <si>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</si>
  <si>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</si>
  <si>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</si>
  <si>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</si>
  <si>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</si>
  <si>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</si>
  <si>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</si>
  <si>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</si>
  <si>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</si>
  <si>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</si>
  <si>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</si>
  <si>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</si>
  <si>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</si>
  <si>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</si>
  <si>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</si>
  <si>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</si>
  <si>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</si>
  <si>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</si>
  <si>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</si>
  <si>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</si>
  <si>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</si>
  <si>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</si>
  <si>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</si>
  <si>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</si>
  <si>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</si>
  <si>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</si>
  <si>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</si>
  <si>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</si>
  <si>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</si>
  <si>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</si>
  <si>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</si>
  <si>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</si>
  <si>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</si>
  <si>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</si>
  <si>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</si>
  <si>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</si>
  <si>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</si>
  <si>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</si>
  <si>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</si>
  <si>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</si>
  <si>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</si>
  <si>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</si>
  <si>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</si>
  <si>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</si>
  <si>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</si>
  <si>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</si>
  <si>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</si>
  <si>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</si>
  <si>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</si>
  <si>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</si>
  <si>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</si>
  <si>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</si>
  <si>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</si>
  <si>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</si>
  <si>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</si>
  <si>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</si>
  <si>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</si>
  <si>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</si>
  <si>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</si>
  <si>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</si>
  <si>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</si>
  <si>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</si>
  <si>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</si>
  <si>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</si>
  <si>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</si>
  <si>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</si>
  <si>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</si>
  <si>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</si>
  <si>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</si>
  <si>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</si>
  <si>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</si>
  <si>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</si>
  <si>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</si>
  <si>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</si>
  <si>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</si>
  <si>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</si>
  <si>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</si>
  <si>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</si>
  <si>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</si>
  <si>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</si>
  <si>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</si>
  <si>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</si>
  <si>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</si>
  <si>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</si>
  <si>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</si>
  <si>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</si>
  <si>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</si>
  <si>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</si>
  <si>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</si>
  <si>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</si>
  <si>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</si>
  <si>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</si>
  <si>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</si>
  <si>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</si>
  <si>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</si>
  <si>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</si>
  <si>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</si>
  <si>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</si>
  <si>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</si>
  <si>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</si>
  <si>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</si>
  <si>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</si>
  <si>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</si>
  <si>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</si>
  <si>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</si>
  <si>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</si>
  <si>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</si>
  <si>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</si>
  <si>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</si>
  <si>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</si>
  <si>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</si>
  <si>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</si>
  <si>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</si>
  <si>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</si>
  <si>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</si>
  <si>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</si>
  <si>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</si>
  <si>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</si>
  <si>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</si>
  <si>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</si>
  <si>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</si>
  <si>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</si>
  <si>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</si>
  <si>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</si>
  <si>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</si>
  <si>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</si>
  <si>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</si>
  <si>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</si>
  <si>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</si>
  <si>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</si>
  <si>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</si>
  <si>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</si>
  <si>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</si>
  <si>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</si>
  <si>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</si>
  <si>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</si>
  <si>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</si>
  <si>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</si>
  <si>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</si>
  <si>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</si>
  <si>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</si>
  <si>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</si>
  <si>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</si>
  <si>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</si>
  <si>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</si>
  <si>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</si>
  <si>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</si>
  <si>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</si>
  <si>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</si>
  <si>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</si>
  <si>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</si>
  <si>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</si>
  <si>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</si>
  <si>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</si>
  <si>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</si>
  <si>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</si>
  <si>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</si>
  <si>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</si>
  <si>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</si>
  <si>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</si>
  <si>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</si>
  <si>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</si>
  <si>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</si>
  <si>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</si>
  <si>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</si>
  <si>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</si>
  <si>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</si>
  <si>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</si>
  <si>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</si>
  <si>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</si>
  <si>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</si>
  <si>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</si>
  <si>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</si>
  <si>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</si>
  <si>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</si>
  <si>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</si>
  <si>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</si>
  <si>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</si>
  <si>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</si>
  <si>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</si>
  <si>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</si>
  <si>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</si>
  <si>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</si>
  <si>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</si>
  <si>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</si>
  <si>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</si>
  <si>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</si>
  <si>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</si>
  <si>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</si>
  <si>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</si>
  <si>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</si>
  <si>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</si>
  <si>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</si>
  <si>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</si>
  <si>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</si>
  <si>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</si>
  <si>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</si>
  <si>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</si>
  <si>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</si>
  <si>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</si>
  <si>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</si>
  <si>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</si>
  <si>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</si>
  <si>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</si>
  <si>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</si>
  <si>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</si>
  <si>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</si>
  <si>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</si>
  <si>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</si>
  <si>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</si>
  <si>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</si>
  <si>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</si>
  <si>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</si>
  <si>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</si>
  <si>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</si>
  <si>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</si>
  <si>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</si>
  <si>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</si>
  <si>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</si>
  <si>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</si>
  <si>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</si>
  <si>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</si>
  <si>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</si>
  <si>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</si>
  <si>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</si>
  <si>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</si>
  <si>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</si>
  <si>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</si>
  <si>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</si>
  <si>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</si>
  <si>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</si>
  <si>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</si>
  <si>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</si>
  <si>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</si>
  <si>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</si>
  <si>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</si>
  <si>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</si>
  <si>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</si>
  <si>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</si>
  <si>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</si>
  <si>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</si>
  <si>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</si>
  <si>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</si>
  <si>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</si>
  <si>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</si>
  <si>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</si>
  <si>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</si>
  <si>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</si>
  <si>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</si>
  <si>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Dresden School District</t>
  </si>
  <si>
    <t>01/15/07</t>
  </si>
  <si>
    <t>12/22/04</t>
  </si>
  <si>
    <t>08/15/03</t>
  </si>
  <si>
    <t>08/15/01</t>
  </si>
  <si>
    <t>09/19</t>
  </si>
  <si>
    <t>08/27</t>
  </si>
  <si>
    <t>01/25</t>
  </si>
  <si>
    <t>08/24</t>
  </si>
  <si>
    <t>08/22</t>
  </si>
  <si>
    <t>09/34</t>
  </si>
  <si>
    <t xml:space="preserve">PY Auditor Adjustments </t>
  </si>
  <si>
    <t>PY Auditor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</si>
</sst>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142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400+200+1047722.67+140-330491.53</f>
        <v>717971.14</v>
      </c>
      <c r="G9" s="18"/>
      <c r="H9" s="18"/>
      <c r="I9" s="18"/>
      <c r="J9" s="67">
        <f>SUM(I440)</f>
        <v>43113</v>
      </c>
      <c r="K9" s="24" t="s">
        <v>288</v>
      </c>
      <c r="L9" s="24" t="s">
        <v>288</v>
      </c>
      <c r="M9" s="8"/>
      <c r="N9" s="264"/>
    </row>
    <row r="10" spans="1:14" s="3" customFormat="1" ht="12.2" customHeight="1" x14ac:dyDescent="0.15">
      <c r="A10" s="1" t="s">
        <v>562</v>
      </c>
      <c r="B10" s="2" t="s">
        <v>289</v>
      </c>
      <c r="C10" s="6">
        <v>2</v>
      </c>
      <c r="D10" s="2" t="s">
        <v>428</v>
      </c>
      <c r="E10" s="6">
        <v>110</v>
      </c>
      <c r="F10" s="18">
        <v>475440.34</v>
      </c>
      <c r="G10" s="18"/>
      <c r="H10" s="18">
        <v>63309.73</v>
      </c>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10553</v>
      </c>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f>108909.65+6440</f>
        <v>115349.65</v>
      </c>
      <c r="G14" s="18"/>
      <c r="H14" s="18">
        <v>17595</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3805.32</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1323119.45</v>
      </c>
      <c r="G19" s="41">
        <f>SUM(G9:G18)</f>
        <v>0</v>
      </c>
      <c r="H19" s="41">
        <f>SUM(H9:H18)</f>
        <v>80904.73000000001</v>
      </c>
      <c r="I19" s="41">
        <f>SUM(I9:I18)</f>
        <v>0</v>
      </c>
      <c r="J19" s="41">
        <f>SUM(J9:J18)</f>
        <v>43113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-82671.3</v>
      </c>
      <c r="G22" s="18">
        <v>-52385.1</v>
      </c>
      <c r="H22" s="18">
        <v>-225659.08</v>
      </c>
      <c r="I22" s="18">
        <f>-32790.53</f>
        <v>-32790.53</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279390.61+50127.99</f>
        <v>329518.59999999998</v>
      </c>
      <c r="G24" s="18">
        <v>22089.95</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56795.5</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-328.11</v>
      </c>
      <c r="G30" s="18">
        <v>30295.08</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54200</v>
      </c>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357514.69</v>
      </c>
      <c r="G32" s="41">
        <f>SUM(G22:G31)</f>
        <v>-6.9999999996070983E-2</v>
      </c>
      <c r="H32" s="41">
        <f>SUM(H22:H31)</f>
        <v>-225659.08</v>
      </c>
      <c r="I32" s="41">
        <f>SUM(I22:I31)</f>
        <v>-32790.53</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3971.06</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v>7.0000000000000007E-2</v>
      </c>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261633.7</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f>288968.81+17595</f>
        <v>306563.81</v>
      </c>
      <c r="I48" s="18"/>
      <c r="J48" s="13">
        <f>SUM(I460)</f>
        <v>43113</v>
      </c>
      <c r="K48" s="24" t="s">
        <v>288</v>
      </c>
      <c r="L48" s="24" t="s">
        <v>288</v>
      </c>
      <c r="M48" s="8"/>
      <c r="N48" s="264"/>
    </row>
    <row r="49" spans="1:14" s="3" customFormat="1" ht="12.2" customHeight="1" x14ac:dyDescent="0.15">
      <c r="A49" s="1" t="s">
        <v>859</v>
      </c>
      <c r="B49" s="2" t="s">
        <v>289</v>
      </c>
      <c r="C49" s="6">
        <v>34</v>
      </c>
      <c r="D49" s="2"/>
      <c r="E49" s="6">
        <v>753</v>
      </c>
      <c r="F49" s="18"/>
      <c r="G49" s="18"/>
      <c r="H49" s="18"/>
      <c r="I49" s="18">
        <f>32790.53</f>
        <v>32790.53</v>
      </c>
      <c r="J49" s="13">
        <f>I455</f>
        <v>0</v>
      </c>
      <c r="K49" s="24"/>
      <c r="L49" s="24"/>
      <c r="M49" s="8"/>
      <c r="N49" s="264"/>
    </row>
    <row r="50" spans="1:14" s="3" customFormat="1" ht="12.2" customHeight="1" thickBot="1" x14ac:dyDescent="0.2">
      <c r="A50" s="29" t="s">
        <v>840</v>
      </c>
      <c r="B50" s="2" t="s">
        <v>289</v>
      </c>
      <c r="C50" s="71">
        <v>35</v>
      </c>
      <c r="D50" s="2" t="s">
        <v>653</v>
      </c>
      <c r="E50" s="6">
        <v>770</v>
      </c>
      <c r="F50" s="18">
        <v>700000</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965604.76</v>
      </c>
      <c r="G51" s="41">
        <f>SUM(G35:G50)</f>
        <v>7.0000000000000007E-2</v>
      </c>
      <c r="H51" s="41">
        <f>SUM(H35:H50)</f>
        <v>306563.81</v>
      </c>
      <c r="I51" s="41">
        <f>SUM(I35:I50)</f>
        <v>32790.53</v>
      </c>
      <c r="J51" s="41">
        <f>SUM(J35:J50)</f>
        <v>43113</v>
      </c>
      <c r="K51" s="45" t="s">
        <v>288</v>
      </c>
      <c r="L51" s="45" t="s">
        <v>288</v>
      </c>
      <c r="N51" s="262"/>
    </row>
    <row r="52" spans="1:14" s="3" customFormat="1" ht="12.2" customHeight="1" thickTop="1" x14ac:dyDescent="0.15">
      <c r="A52" s="38" t="s">
        <v>455</v>
      </c>
      <c r="B52" s="39" t="s">
        <v>289</v>
      </c>
      <c r="C52" s="6">
        <v>37</v>
      </c>
      <c r="D52" s="39" t="s">
        <v>653</v>
      </c>
      <c r="E52" s="39"/>
      <c r="F52" s="41">
        <f>F51+F32</f>
        <v>1323119.45</v>
      </c>
      <c r="G52" s="41">
        <f>G51+G32</f>
        <v>3.9290237729971977E-12</v>
      </c>
      <c r="H52" s="41">
        <f>H51+H32</f>
        <v>80904.73000000001</v>
      </c>
      <c r="I52" s="41">
        <f>I51+I32</f>
        <v>0</v>
      </c>
      <c r="J52" s="41">
        <f>J51+J32</f>
        <v>43113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12105936+6757272</f>
        <v>18863208</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18863208</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206979</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f>1550971.38+2202042+311805</f>
        <v>4064818.38</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1040620.3</v>
      </c>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5312417.68</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1213.21</v>
      </c>
      <c r="G96" s="18"/>
      <c r="H96" s="18"/>
      <c r="I96" s="18"/>
      <c r="J96" s="18">
        <v>9031</v>
      </c>
      <c r="K96" s="24" t="s">
        <v>288</v>
      </c>
      <c r="L96" s="24" t="s">
        <v>288</v>
      </c>
      <c r="M96" s="8"/>
      <c r="N96" s="264"/>
    </row>
    <row r="97" spans="1:14" s="3" customFormat="1" ht="12.2" customHeight="1" x14ac:dyDescent="0.15">
      <c r="A97" s="1" t="s">
        <v>503</v>
      </c>
      <c r="B97" s="2" t="s">
        <v>315</v>
      </c>
      <c r="C97" s="6">
        <v>12</v>
      </c>
      <c r="D97" s="2" t="s">
        <v>430</v>
      </c>
      <c r="E97" s="6">
        <v>1600</v>
      </c>
      <c r="F97" s="24" t="s">
        <v>288</v>
      </c>
      <c r="G97" s="18">
        <f>451892.75+12640.75+21.5</f>
        <v>464555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124021.3</v>
      </c>
      <c r="G98" s="24" t="s">
        <v>288</v>
      </c>
      <c r="H98" s="18">
        <v>48085.04</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100000</v>
      </c>
      <c r="G102" s="18"/>
      <c r="H102" s="18">
        <v>243497.56</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v>52</v>
      </c>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68126.39</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59757.73</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353170.63</v>
      </c>
      <c r="G111" s="41">
        <f>SUM(G96:G110)</f>
        <v>464555</v>
      </c>
      <c r="H111" s="41">
        <f>SUM(H96:H110)</f>
        <v>291582.59999999998</v>
      </c>
      <c r="I111" s="41">
        <f>SUM(I96:I110)</f>
        <v>0</v>
      </c>
      <c r="J111" s="41">
        <f>SUM(J96:J110)</f>
        <v>9031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24528796.309999999</v>
      </c>
      <c r="G112" s="41">
        <f>G60+G111</f>
        <v>464555</v>
      </c>
      <c r="H112" s="41">
        <f>H60+H79+H94+H111</f>
        <v>291582.59999999998</v>
      </c>
      <c r="I112" s="41">
        <f>I60+I111</f>
        <v>0</v>
      </c>
      <c r="J112" s="41">
        <f>J60+J111</f>
        <v>9031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2353584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2353584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366756.84</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18086.54</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f>9270.72+665.4</f>
        <v>9936.119999999999</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394779.5</v>
      </c>
      <c r="G136" s="41">
        <f>SUM(G123:G135)</f>
        <v>0</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2748363.5</v>
      </c>
      <c r="G140" s="41">
        <f>G121+SUM(G136:G137)</f>
        <v>0</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16998.79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15800.31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199087.93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301138.52+2492.96</f>
        <v>303631.48000000004</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23892.34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0</v>
      </c>
      <c r="G163" s="41">
        <f>SUM(G150:G162)</f>
        <v>0</v>
      </c>
      <c r="H163" s="41">
        <f>SUM(H150:H162)</f>
        <v>559410.85</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559410.85</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f>41456.5+61989</f>
        <v>103445.5</v>
      </c>
      <c r="H180" s="18"/>
      <c r="I180" s="18">
        <v>0</v>
      </c>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103445.5</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103445.5</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27277159.809999999</v>
      </c>
      <c r="G194" s="47">
        <f>G112+G140+G170+G193</f>
        <v>568000.5</v>
      </c>
      <c r="H194" s="47">
        <f>H112+H140+H170+H193</f>
        <v>850993.45</v>
      </c>
      <c r="I194" s="47">
        <f>I112+I140+I170+I193</f>
        <v>0</v>
      </c>
      <c r="J194" s="47">
        <f>J112+J140+J193</f>
        <v>9031</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2879037.06</v>
      </c>
      <c r="G198" s="18">
        <v>1047460.53</v>
      </c>
      <c r="H198" s="18">
        <f>78674.5-2138.85</f>
        <v>76535.649999999994</v>
      </c>
      <c r="I198" s="18">
        <v>56034.42</v>
      </c>
      <c r="J198" s="18">
        <v>92646.2</v>
      </c>
      <c r="K198" s="18"/>
      <c r="L198" s="19">
        <f>SUM(F198:K198)</f>
        <v>4151713.86</v>
      </c>
      <c r="M198" s="8"/>
      <c r="N198" s="264"/>
    </row>
    <row r="199" spans="1:14" s="3" customFormat="1" ht="12.2" customHeight="1" x14ac:dyDescent="0.15">
      <c r="A199" s="1" t="s">
        <v>439</v>
      </c>
      <c r="B199" s="2" t="s">
        <v>341</v>
      </c>
      <c r="C199" s="2" t="s">
        <v>291</v>
      </c>
      <c r="D199" s="2" t="s">
        <v>431</v>
      </c>
      <c r="E199" s="6">
        <v>1200</v>
      </c>
      <c r="F199" s="18">
        <v>1035813.24</v>
      </c>
      <c r="G199" s="18">
        <v>584289.91</v>
      </c>
      <c r="H199" s="18">
        <v>9839.75</v>
      </c>
      <c r="I199" s="18">
        <v>2198.0100000000002</v>
      </c>
      <c r="J199" s="18">
        <v>30684.57</v>
      </c>
      <c r="K199" s="18"/>
      <c r="L199" s="19">
        <f>SUM(F199:K199)</f>
        <v>1662825.48</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19763.009999999998</v>
      </c>
      <c r="G201" s="18">
        <v>2754.74</v>
      </c>
      <c r="H201" s="18">
        <v>3093.4</v>
      </c>
      <c r="I201" s="18"/>
      <c r="J201" s="18"/>
      <c r="K201" s="18"/>
      <c r="L201" s="19">
        <f>SUM(F201:K201)</f>
        <v>25611.15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249859.17</v>
      </c>
      <c r="G203" s="18">
        <v>122813.69</v>
      </c>
      <c r="H203" s="18">
        <v>1475.28</v>
      </c>
      <c r="I203" s="18">
        <v>3153.92</v>
      </c>
      <c r="J203" s="18"/>
      <c r="K203" s="18">
        <v>150</v>
      </c>
      <c r="L203" s="19">
        <f t="shared" ref="L203:L209" si="0">SUM(F203:K203)</f>
        <v>377452.06</v>
      </c>
      <c r="M203" s="8"/>
      <c r="N203" s="264"/>
    </row>
    <row r="204" spans="1:14" s="3" customFormat="1" ht="12.2" customHeight="1" x14ac:dyDescent="0.15">
      <c r="A204" s="1" t="s">
        <v>443</v>
      </c>
      <c r="B204" s="2" t="s">
        <v>341</v>
      </c>
      <c r="C204" s="2" t="s">
        <v>295</v>
      </c>
      <c r="D204" s="2" t="s">
        <v>431</v>
      </c>
      <c r="E204" s="6">
        <v>2200</v>
      </c>
      <c r="F204" s="18">
        <v>124157.36</v>
      </c>
      <c r="G204" s="18">
        <v>84555.55</v>
      </c>
      <c r="H204" s="18">
        <v>3337.51</v>
      </c>
      <c r="I204" s="18">
        <v>24689.75</v>
      </c>
      <c r="J204" s="18">
        <v>4210</v>
      </c>
      <c r="K204" s="18"/>
      <c r="L204" s="19">
        <f t="shared" si="0"/>
        <v>240950.17</v>
      </c>
      <c r="M204" s="8"/>
      <c r="N204" s="264"/>
    </row>
    <row r="205" spans="1:14" s="3" customFormat="1" ht="12.2" customHeight="1" x14ac:dyDescent="0.15">
      <c r="A205" s="1" t="s">
        <v>444</v>
      </c>
      <c r="B205" s="2" t="s">
        <v>341</v>
      </c>
      <c r="C205" s="2" t="s">
        <v>296</v>
      </c>
      <c r="D205" s="2" t="s">
        <v>431</v>
      </c>
      <c r="E205" s="6">
        <v>2300</v>
      </c>
      <c r="F205" s="18">
        <v>4763.1099999999997</v>
      </c>
      <c r="G205" s="18">
        <v>378.47</v>
      </c>
      <c r="H205" s="18">
        <v>392851.92</v>
      </c>
      <c r="I205" s="18"/>
      <c r="J205" s="18"/>
      <c r="K205" s="18">
        <v>5007.6899999999996</v>
      </c>
      <c r="L205" s="19">
        <f t="shared" si="0"/>
        <v>403001.19</v>
      </c>
      <c r="M205" s="8"/>
      <c r="N205" s="264"/>
    </row>
    <row r="206" spans="1:14" s="3" customFormat="1" ht="12.2" customHeight="1" x14ac:dyDescent="0.15">
      <c r="A206" s="1" t="s">
        <v>445</v>
      </c>
      <c r="B206" s="2" t="s">
        <v>341</v>
      </c>
      <c r="C206" s="2" t="s">
        <v>297</v>
      </c>
      <c r="D206" s="2" t="s">
        <v>431</v>
      </c>
      <c r="E206" s="6">
        <v>2400</v>
      </c>
      <c r="F206" s="18">
        <v>345368.81</v>
      </c>
      <c r="G206" s="18">
        <v>217521.21</v>
      </c>
      <c r="H206" s="18">
        <v>21757.94</v>
      </c>
      <c r="I206" s="18">
        <v>1760.43</v>
      </c>
      <c r="J206" s="18"/>
      <c r="K206" s="18">
        <v>679</v>
      </c>
      <c r="L206" s="19">
        <f t="shared" si="0"/>
        <v>587087.39</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f>325346.42-13496.7</f>
        <v>311849.71999999997</v>
      </c>
      <c r="G208" s="18">
        <v>134826.14000000001</v>
      </c>
      <c r="H208" s="18">
        <v>166761.51</v>
      </c>
      <c r="I208" s="18">
        <v>88190.58</v>
      </c>
      <c r="J208" s="18">
        <v>4686.07</v>
      </c>
      <c r="K208" s="18"/>
      <c r="L208" s="19">
        <f t="shared" si="0"/>
        <v>706314.0199999999</v>
      </c>
      <c r="M208" s="8"/>
      <c r="N208" s="264"/>
    </row>
    <row r="209" spans="1:14" s="3" customFormat="1" ht="12.2" customHeight="1" x14ac:dyDescent="0.15">
      <c r="A209" s="1" t="s">
        <v>448</v>
      </c>
      <c r="B209" s="2" t="s">
        <v>341</v>
      </c>
      <c r="C209" s="2" t="s">
        <v>300</v>
      </c>
      <c r="D209" s="2" t="s">
        <v>431</v>
      </c>
      <c r="E209" s="6">
        <v>2700</v>
      </c>
      <c r="F209" s="18"/>
      <c r="G209" s="18"/>
      <c r="H209" s="18">
        <v>3849.58</v>
      </c>
      <c r="I209" s="18"/>
      <c r="J209" s="18"/>
      <c r="K209" s="18"/>
      <c r="L209" s="19">
        <f t="shared" si="0"/>
        <v>3849.58</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4970611.4799999995</v>
      </c>
      <c r="G212" s="41">
        <f t="shared" si="1"/>
        <v>2194600.2399999998</v>
      </c>
      <c r="H212" s="41">
        <f t="shared" si="1"/>
        <v>679502.53999999992</v>
      </c>
      <c r="I212" s="41">
        <f t="shared" si="1"/>
        <v>176027.11</v>
      </c>
      <c r="J212" s="41">
        <f t="shared" si="1"/>
        <v>132226.84</v>
      </c>
      <c r="K212" s="41">
        <f t="shared" si="1"/>
        <v>5836.69</v>
      </c>
      <c r="L212" s="41">
        <f t="shared" si="1"/>
        <v>8158804.8999999994</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5173188.95</v>
      </c>
      <c r="G234" s="18">
        <v>1814873.71</v>
      </c>
      <c r="H234" s="18">
        <v>151613.76999999999</v>
      </c>
      <c r="I234" s="18">
        <v>109564.92</v>
      </c>
      <c r="J234" s="18">
        <v>196200</v>
      </c>
      <c r="K234" s="18">
        <v>9692.85</v>
      </c>
      <c r="L234" s="19">
        <f>SUM(F234:K234)</f>
        <v>7455134.1999999993</v>
      </c>
      <c r="M234" s="8"/>
      <c r="N234" s="264"/>
    </row>
    <row r="235" spans="1:14" s="3" customFormat="1" ht="12.2" customHeight="1" x14ac:dyDescent="0.15">
      <c r="A235" s="1" t="s">
        <v>439</v>
      </c>
      <c r="B235" s="2" t="s">
        <v>350</v>
      </c>
      <c r="C235" s="2" t="s">
        <v>291</v>
      </c>
      <c r="D235" s="2" t="s">
        <v>431</v>
      </c>
      <c r="E235" s="6">
        <v>1200</v>
      </c>
      <c r="F235" s="18">
        <v>907117.92</v>
      </c>
      <c r="G235" s="18">
        <v>485797.93</v>
      </c>
      <c r="H235" s="18">
        <v>13048.25</v>
      </c>
      <c r="I235" s="18">
        <v>1486.98</v>
      </c>
      <c r="J235" s="18">
        <v>63.53</v>
      </c>
      <c r="K235" s="18">
        <v>736</v>
      </c>
      <c r="L235" s="19">
        <f>SUM(F235:K235)</f>
        <v>1408250.61</v>
      </c>
      <c r="M235" s="8"/>
      <c r="N235" s="264"/>
    </row>
    <row r="236" spans="1:14" s="3" customFormat="1" ht="12.2" customHeight="1" x14ac:dyDescent="0.15">
      <c r="A236" s="1" t="s">
        <v>440</v>
      </c>
      <c r="B236" s="2" t="s">
        <v>350</v>
      </c>
      <c r="C236" s="2" t="s">
        <v>292</v>
      </c>
      <c r="D236" s="2" t="s">
        <v>431</v>
      </c>
      <c r="E236" s="6">
        <v>1300</v>
      </c>
      <c r="F236" s="18"/>
      <c r="G236" s="18"/>
      <c r="H236" s="18">
        <v>102344.76</v>
      </c>
      <c r="I236" s="18"/>
      <c r="J236" s="18"/>
      <c r="K236" s="18"/>
      <c r="L236" s="19">
        <f>SUM(F236:K236)</f>
        <v>102344.76</v>
      </c>
      <c r="M236" s="8"/>
      <c r="N236" s="264"/>
    </row>
    <row r="237" spans="1:14" s="3" customFormat="1" ht="12.2" customHeight="1" x14ac:dyDescent="0.15">
      <c r="A237" s="1" t="s">
        <v>441</v>
      </c>
      <c r="B237" s="2" t="s">
        <v>350</v>
      </c>
      <c r="C237" s="2" t="s">
        <v>293</v>
      </c>
      <c r="D237" s="2" t="s">
        <v>431</v>
      </c>
      <c r="E237" s="6">
        <v>1400</v>
      </c>
      <c r="F237" s="18">
        <v>482232.28</v>
      </c>
      <c r="G237" s="18">
        <v>128283.35</v>
      </c>
      <c r="H237" s="18">
        <v>133133.20000000001</v>
      </c>
      <c r="I237" s="18">
        <v>13033.73</v>
      </c>
      <c r="J237" s="18">
        <v>35859.1</v>
      </c>
      <c r="K237" s="18">
        <v>7613</v>
      </c>
      <c r="L237" s="19">
        <f>SUM(F237:K237)</f>
        <v>800154.66</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805777.32</v>
      </c>
      <c r="G239" s="18">
        <v>293235.84999999998</v>
      </c>
      <c r="H239" s="18">
        <v>13639.32</v>
      </c>
      <c r="I239" s="18">
        <v>2902.26</v>
      </c>
      <c r="J239" s="18">
        <v>149.94</v>
      </c>
      <c r="K239" s="18">
        <v>985</v>
      </c>
      <c r="L239" s="19">
        <f t="shared" ref="L239:L245" si="4">SUM(F239:K239)</f>
        <v>1116689.69</v>
      </c>
      <c r="M239" s="8"/>
      <c r="N239" s="264"/>
    </row>
    <row r="240" spans="1:14" s="3" customFormat="1" ht="12.2" customHeight="1" x14ac:dyDescent="0.15">
      <c r="A240" s="1" t="s">
        <v>443</v>
      </c>
      <c r="B240" s="2" t="s">
        <v>350</v>
      </c>
      <c r="C240" s="2" t="s">
        <v>295</v>
      </c>
      <c r="D240" s="2" t="s">
        <v>431</v>
      </c>
      <c r="E240" s="6">
        <v>2200</v>
      </c>
      <c r="F240" s="18">
        <v>194222.77</v>
      </c>
      <c r="G240" s="18">
        <v>96414.34</v>
      </c>
      <c r="H240" s="18">
        <v>10660.58</v>
      </c>
      <c r="I240" s="18">
        <v>39383.51</v>
      </c>
      <c r="J240" s="18">
        <v>75911.14</v>
      </c>
      <c r="K240" s="18">
        <v>728</v>
      </c>
      <c r="L240" s="19">
        <f t="shared" si="4"/>
        <v>417320.34</v>
      </c>
      <c r="M240" s="8"/>
      <c r="N240" s="264"/>
    </row>
    <row r="241" spans="1:14" s="3" customFormat="1" ht="12.2" customHeight="1" x14ac:dyDescent="0.15">
      <c r="A241" s="1" t="s">
        <v>444</v>
      </c>
      <c r="B241" s="2" t="s">
        <v>350</v>
      </c>
      <c r="C241" s="2" t="s">
        <v>296</v>
      </c>
      <c r="D241" s="2" t="s">
        <v>431</v>
      </c>
      <c r="E241" s="6">
        <v>2300</v>
      </c>
      <c r="F241" s="18">
        <v>9353.27</v>
      </c>
      <c r="G241" s="18">
        <v>743.2</v>
      </c>
      <c r="H241" s="18">
        <v>771438.25</v>
      </c>
      <c r="I241" s="18"/>
      <c r="J241" s="18"/>
      <c r="K241" s="18">
        <v>9833.5400000000009</v>
      </c>
      <c r="L241" s="19">
        <f t="shared" si="4"/>
        <v>791368.26</v>
      </c>
      <c r="M241" s="8"/>
      <c r="N241" s="264"/>
    </row>
    <row r="242" spans="1:14" s="3" customFormat="1" ht="12.2" customHeight="1" x14ac:dyDescent="0.15">
      <c r="A242" s="1" t="s">
        <v>445</v>
      </c>
      <c r="B242" s="2" t="s">
        <v>350</v>
      </c>
      <c r="C242" s="2" t="s">
        <v>297</v>
      </c>
      <c r="D242" s="2" t="s">
        <v>431</v>
      </c>
      <c r="E242" s="6">
        <v>2400</v>
      </c>
      <c r="F242" s="18">
        <v>900901.27</v>
      </c>
      <c r="G242" s="18">
        <v>542313.96</v>
      </c>
      <c r="H242" s="18">
        <v>36455.730000000003</v>
      </c>
      <c r="I242" s="18">
        <v>11305.9</v>
      </c>
      <c r="J242" s="18"/>
      <c r="K242" s="18">
        <v>4192.5</v>
      </c>
      <c r="L242" s="19">
        <f t="shared" si="4"/>
        <v>1495169.3599999999</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f>525678.54-26503.3</f>
        <v>499175.24000000005</v>
      </c>
      <c r="G244" s="18">
        <v>214941.57</v>
      </c>
      <c r="H244" s="18">
        <v>376753.55</v>
      </c>
      <c r="I244" s="18">
        <v>260294.37</v>
      </c>
      <c r="J244" s="18">
        <v>7905.71</v>
      </c>
      <c r="K244" s="18"/>
      <c r="L244" s="19">
        <f t="shared" si="4"/>
        <v>1359070.44</v>
      </c>
      <c r="M244" s="8"/>
      <c r="N244" s="264"/>
    </row>
    <row r="245" spans="1:14" s="3" customFormat="1" ht="12.2" customHeight="1" x14ac:dyDescent="0.15">
      <c r="A245" s="1" t="s">
        <v>448</v>
      </c>
      <c r="B245" s="2" t="s">
        <v>350</v>
      </c>
      <c r="C245" s="2" t="s">
        <v>300</v>
      </c>
      <c r="D245" s="2" t="s">
        <v>431</v>
      </c>
      <c r="E245" s="6">
        <v>2700</v>
      </c>
      <c r="F245" s="18"/>
      <c r="G245" s="18"/>
      <c r="H245" s="18">
        <v>131874.51999999999</v>
      </c>
      <c r="I245" s="18"/>
      <c r="J245" s="18"/>
      <c r="K245" s="18"/>
      <c r="L245" s="19">
        <f t="shared" si="4"/>
        <v>131874.51999999999</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8971969.0199999996</v>
      </c>
      <c r="G248" s="41">
        <f t="shared" si="5"/>
        <v>3576603.91</v>
      </c>
      <c r="H248" s="41">
        <f t="shared" si="5"/>
        <v>1740961.93</v>
      </c>
      <c r="I248" s="41">
        <f t="shared" si="5"/>
        <v>437971.67</v>
      </c>
      <c r="J248" s="41">
        <f t="shared" si="5"/>
        <v>316089.42000000004</v>
      </c>
      <c r="K248" s="41">
        <f t="shared" si="5"/>
        <v>33780.89</v>
      </c>
      <c r="L248" s="41">
        <f t="shared" si="5"/>
        <v>15077376.839999996</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265901.21999999997</v>
      </c>
      <c r="I256" s="18"/>
      <c r="J256" s="18"/>
      <c r="K256" s="18"/>
      <c r="L256" s="19">
        <f t="shared" si="6"/>
        <v>265901.21999999997</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265901.21999999997</v>
      </c>
      <c r="I257" s="41">
        <f t="shared" si="7"/>
        <v>0</v>
      </c>
      <c r="J257" s="41">
        <f t="shared" si="7"/>
        <v>0</v>
      </c>
      <c r="K257" s="41">
        <f t="shared" si="7"/>
        <v>0</v>
      </c>
      <c r="L257" s="41">
        <f>SUM(F257:K257)</f>
        <v>265901.21999999997</v>
      </c>
      <c r="M257" s="8"/>
      <c r="N257" s="264"/>
    </row>
    <row r="258" spans="1:14" s="3" customFormat="1" ht="12.2" customHeight="1" thickTop="1" x14ac:dyDescent="0.15">
      <c r="A258" s="38" t="s">
        <v>462</v>
      </c>
      <c r="B258" s="40">
        <v>10</v>
      </c>
      <c r="C258" s="40">
        <v>8</v>
      </c>
      <c r="D258" s="39" t="s">
        <v>431</v>
      </c>
      <c r="E258" s="40"/>
      <c r="F258" s="41">
        <f t="shared" ref="F258:L258" si="8">F212+F230+F248+F257</f>
        <v>13942580.5</v>
      </c>
      <c r="G258" s="41">
        <f t="shared" si="8"/>
        <v>5771204.1500000004</v>
      </c>
      <c r="H258" s="41">
        <f t="shared" si="8"/>
        <v>2686365.6899999995</v>
      </c>
      <c r="I258" s="41">
        <f t="shared" si="8"/>
        <v>613998.78</v>
      </c>
      <c r="J258" s="41">
        <f t="shared" si="8"/>
        <v>448316.26</v>
      </c>
      <c r="K258" s="41">
        <f t="shared" si="8"/>
        <v>39617.58</v>
      </c>
      <c r="L258" s="41">
        <f t="shared" si="8"/>
        <v>23502082.959999993</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1736799.62</v>
      </c>
      <c r="L261" s="19">
        <f>SUM(F261:K261)</f>
        <v>1736799.62</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1884305.56</v>
      </c>
      <c r="L262" s="19">
        <f>SUM(F262:K262)</f>
        <v>1884305.56</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41456.5+61989</f>
        <v>103445.5</v>
      </c>
      <c r="L264" s="19">
        <f>SUM(F264:K264)</f>
        <v>103445.5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3724550.68</v>
      </c>
      <c r="L271" s="41">
        <f t="shared" si="9"/>
        <v>3724550.68</v>
      </c>
      <c r="M271" s="8"/>
      <c r="N271" s="264"/>
    </row>
    <row r="272" spans="1:14" s="34" customFormat="1" ht="12.2" customHeight="1" thickTop="1" x14ac:dyDescent="0.2">
      <c r="A272" s="43" t="s">
        <v>464</v>
      </c>
      <c r="B272" s="40">
        <v>10</v>
      </c>
      <c r="C272" s="40">
        <v>18</v>
      </c>
      <c r="D272" s="39" t="s">
        <v>431</v>
      </c>
      <c r="E272" s="40"/>
      <c r="F272" s="42">
        <f t="shared" ref="F272:L272" si="11">F258+F271</f>
        <v>13942580.5</v>
      </c>
      <c r="G272" s="42">
        <f t="shared" si="11"/>
        <v>5771204.1500000004</v>
      </c>
      <c r="H272" s="42">
        <f t="shared" si="11"/>
        <v>2686365.6899999995</v>
      </c>
      <c r="I272" s="42">
        <f t="shared" si="11"/>
        <v>613998.78</v>
      </c>
      <c r="J272" s="42">
        <f t="shared" si="11"/>
        <v>448316.26</v>
      </c>
      <c r="K272" s="42">
        <f t="shared" si="11"/>
        <v>3764168.2600000002</v>
      </c>
      <c r="L272" s="42">
        <f t="shared" si="11"/>
        <v>27226633.639999993</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45161.15</v>
      </c>
      <c r="G277" s="18">
        <v>424.9</v>
      </c>
      <c r="H277" s="18">
        <v>40959.75</v>
      </c>
      <c r="I277" s="18">
        <v>126392.41</v>
      </c>
      <c r="J277" s="18">
        <v>129547.39</v>
      </c>
      <c r="K277" s="18"/>
      <c r="L277" s="19">
        <f>SUM(F277:K277)</f>
        <v>342485.60000000003</v>
      </c>
      <c r="M277" s="8"/>
      <c r="N277" s="264"/>
    </row>
    <row r="278" spans="1:14" s="3" customFormat="1" ht="12.2" customHeight="1" x14ac:dyDescent="0.15">
      <c r="A278" s="1" t="s">
        <v>439</v>
      </c>
      <c r="B278" s="2" t="s">
        <v>357</v>
      </c>
      <c r="C278" s="2" t="s">
        <v>291</v>
      </c>
      <c r="D278" s="2" t="s">
        <v>431</v>
      </c>
      <c r="E278" s="6">
        <v>1200</v>
      </c>
      <c r="F278" s="18">
        <v>98500</v>
      </c>
      <c r="G278" s="18">
        <v>978</v>
      </c>
      <c r="H278" s="18"/>
      <c r="I278" s="18"/>
      <c r="J278" s="18">
        <v>411.38</v>
      </c>
      <c r="K278" s="18"/>
      <c r="L278" s="19">
        <f>SUM(F278:K278)</f>
        <v>99889.38</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143661.15</v>
      </c>
      <c r="G291" s="42">
        <f t="shared" si="13"/>
        <v>1402.9</v>
      </c>
      <c r="H291" s="42">
        <f t="shared" si="13"/>
        <v>40959.75</v>
      </c>
      <c r="I291" s="42">
        <f t="shared" si="13"/>
        <v>126392.41</v>
      </c>
      <c r="J291" s="42">
        <f t="shared" si="13"/>
        <v>129958.77</v>
      </c>
      <c r="K291" s="42">
        <f t="shared" si="13"/>
        <v>0</v>
      </c>
      <c r="L291" s="41">
        <f t="shared" si="13"/>
        <v>442374.98000000004</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11994.2</v>
      </c>
      <c r="G315" s="18">
        <v>764.27</v>
      </c>
      <c r="H315" s="18">
        <v>102225.94</v>
      </c>
      <c r="I315" s="18">
        <v>167.24</v>
      </c>
      <c r="J315" s="18">
        <v>94512.94</v>
      </c>
      <c r="K315" s="18"/>
      <c r="L315" s="19">
        <f>SUM(F315:K315)</f>
        <v>209664.59000000003</v>
      </c>
      <c r="M315" s="8"/>
      <c r="N315" s="264"/>
    </row>
    <row r="316" spans="1:14" s="3" customFormat="1" ht="12.2" customHeight="1" x14ac:dyDescent="0.15">
      <c r="A316" s="1" t="s">
        <v>439</v>
      </c>
      <c r="B316" s="2" t="s">
        <v>359</v>
      </c>
      <c r="C316" s="2" t="s">
        <v>291</v>
      </c>
      <c r="D316" s="2" t="s">
        <v>431</v>
      </c>
      <c r="E316" s="6">
        <v>1200</v>
      </c>
      <c r="F316" s="18">
        <v>96000</v>
      </c>
      <c r="G316" s="18"/>
      <c r="H316" s="18">
        <v>2400</v>
      </c>
      <c r="I316" s="18">
        <v>1198.98</v>
      </c>
      <c r="J316" s="18">
        <v>2092.5300000000002</v>
      </c>
      <c r="K316" s="18"/>
      <c r="L316" s="19">
        <f>SUM(F316:K316)</f>
        <v>101691.51</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107994.2</v>
      </c>
      <c r="G329" s="42">
        <f t="shared" si="17"/>
        <v>764.27</v>
      </c>
      <c r="H329" s="42">
        <f t="shared" si="17"/>
        <v>104625.94</v>
      </c>
      <c r="I329" s="42">
        <f t="shared" si="17"/>
        <v>1366.22</v>
      </c>
      <c r="J329" s="42">
        <f t="shared" si="17"/>
        <v>96605.47</v>
      </c>
      <c r="K329" s="42">
        <f t="shared" si="17"/>
        <v>0</v>
      </c>
      <c r="L329" s="41">
        <f t="shared" si="17"/>
        <v>311356.10000000003</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251655.34999999998</v>
      </c>
      <c r="G339" s="41">
        <f t="shared" si="20"/>
        <v>2167.17</v>
      </c>
      <c r="H339" s="41">
        <f t="shared" si="20"/>
        <v>145585.69</v>
      </c>
      <c r="I339" s="41">
        <f t="shared" si="20"/>
        <v>127758.63</v>
      </c>
      <c r="J339" s="41">
        <f t="shared" si="20"/>
        <v>226564.24</v>
      </c>
      <c r="K339" s="41">
        <f t="shared" si="20"/>
        <v>0</v>
      </c>
      <c r="L339" s="41">
        <f t="shared" si="20"/>
        <v>753731.08000000007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251655.34999999998</v>
      </c>
      <c r="G353" s="41">
        <f>G339</f>
        <v>2167.17</v>
      </c>
      <c r="H353" s="41">
        <f>H339</f>
        <v>145585.69</v>
      </c>
      <c r="I353" s="41">
        <f>I339</f>
        <v>127758.63</v>
      </c>
      <c r="J353" s="41">
        <f>J339</f>
        <v>226564.24</v>
      </c>
      <c r="K353" s="47">
        <f>K339+K352</f>
        <v>0</v>
      </c>
      <c r="L353" s="41">
        <f>L339+L352</f>
        <v>753731.08000000007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79325.149999999994</v>
      </c>
      <c r="G359" s="18">
        <v>19101.93</v>
      </c>
      <c r="H359" s="18">
        <v>6976.03</v>
      </c>
      <c r="I359" s="18">
        <v>106396.25</v>
      </c>
      <c r="J359" s="18">
        <v>768</v>
      </c>
      <c r="K359" s="18"/>
      <c r="L359" s="13">
        <f>SUM(F359:K359)</f>
        <v>212567.36</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f>10506.26+319572</f>
        <v>330078.26</v>
      </c>
      <c r="I361" s="18"/>
      <c r="J361" s="18">
        <v>1799.7</v>
      </c>
      <c r="K361" s="18"/>
      <c r="L361" s="19">
        <f>SUM(F361:K361)</f>
        <v>331877.96000000002</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79325.149999999994</v>
      </c>
      <c r="G363" s="47">
        <f t="shared" si="22"/>
        <v>19101.93</v>
      </c>
      <c r="H363" s="47">
        <f t="shared" si="22"/>
        <v>337054.29000000004</v>
      </c>
      <c r="I363" s="47">
        <f t="shared" si="22"/>
        <v>106396.25</v>
      </c>
      <c r="J363" s="47">
        <f t="shared" si="22"/>
        <v>2567.6999999999998</v>
      </c>
      <c r="K363" s="47">
        <f t="shared" si="22"/>
        <v>0</v>
      </c>
      <c r="L363" s="47">
        <f t="shared" si="22"/>
        <v>544445.32000000007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96940.58+545.28</f>
        <v>97485.86</v>
      </c>
      <c r="G368" s="18"/>
      <c r="H368" s="18"/>
      <c r="I368" s="56">
        <f>SUM(F368:H368)</f>
        <v>97485.86</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10311.78-1401.39</f>
        <v>8910.3900000000012</v>
      </c>
      <c r="G369" s="63"/>
      <c r="H369" s="63"/>
      <c r="I369" s="56">
        <f>SUM(F369:H369)</f>
        <v>8910.3900000000012</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106396.25</v>
      </c>
      <c r="G370" s="47">
        <f>SUM(G368:G369)</f>
        <v>0</v>
      </c>
      <c r="H370" s="47">
        <f>SUM(H368:H369)</f>
        <v>0</v>
      </c>
      <c r="I370" s="47">
        <f>SUM(I368:I369)</f>
        <v>106396.25</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9031</v>
      </c>
      <c r="I401" s="18"/>
      <c r="J401" s="24" t="s">
        <v>288</v>
      </c>
      <c r="K401" s="24" t="s">
        <v>288</v>
      </c>
      <c r="L401" s="56">
        <f t="shared" si="26"/>
        <v>9031</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9031</v>
      </c>
      <c r="I402" s="47">
        <f>SUM(I396:I401)</f>
        <v>0</v>
      </c>
      <c r="J402" s="45" t="s">
        <v>288</v>
      </c>
      <c r="K402" s="45" t="s">
        <v>288</v>
      </c>
      <c r="L402" s="47">
        <f>SUM(L396:L401)</f>
        <v>9031</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9031</v>
      </c>
      <c r="I409" s="47">
        <f>I394+I402+I408</f>
        <v>0</v>
      </c>
      <c r="J409" s="24" t="s">
        <v>288</v>
      </c>
      <c r="K409" s="24" t="s">
        <v>288</v>
      </c>
      <c r="L409" s="47">
        <f>L394+L402+L408</f>
        <v>9031</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v>56125.57</v>
      </c>
      <c r="L423" s="56">
        <f t="shared" si="29"/>
        <v>56125.57</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56125.57</v>
      </c>
      <c r="L428" s="47">
        <f t="shared" si="30"/>
        <v>56125.57</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56125.57</v>
      </c>
      <c r="L435" s="47">
        <f t="shared" si="32"/>
        <v>56125.57</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43113</v>
      </c>
      <c r="H440" s="18"/>
      <c r="I440" s="56">
        <f t="shared" ref="I440:I446" si="33">SUM(F440:H440)</f>
        <v>43113</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43113</v>
      </c>
      <c r="H447" s="13">
        <f>SUM(H440:H446)</f>
        <v>0</v>
      </c>
      <c r="I447" s="13">
        <f>SUM(I440:I446)</f>
        <v>43113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43113</v>
      </c>
      <c r="H460" s="18"/>
      <c r="I460" s="56">
        <f t="shared" si="34"/>
        <v>43113</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43113</v>
      </c>
      <c r="H461" s="83">
        <f>SUM(H455:H460)</f>
        <v>0</v>
      </c>
      <c r="I461" s="83">
        <f>SUM(I455:I460)</f>
        <v>43113</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43113</v>
      </c>
      <c r="H462" s="42">
        <f>H453+H461</f>
        <v>0</v>
      </c>
      <c r="I462" s="42">
        <f>I453+I461</f>
        <v>43113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861107.53</v>
      </c>
      <c r="G466" s="18">
        <v>-23555.11</v>
      </c>
      <c r="H466" s="18">
        <v>227225</v>
      </c>
      <c r="I466" s="18">
        <v>32790.53</v>
      </c>
      <c r="J466" s="18">
        <v>90207.57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27277159.809999999</v>
      </c>
      <c r="G469" s="18">
        <v>568000.5</v>
      </c>
      <c r="H469" s="18">
        <v>850993.45</v>
      </c>
      <c r="I469" s="18">
        <v>0</v>
      </c>
      <c r="J469" s="18">
        <v>9031</v>
      </c>
      <c r="K469" s="24" t="s">
        <v>288</v>
      </c>
      <c r="L469" s="24" t="s">
        <v>288</v>
      </c>
      <c r="N469" s="263"/>
    </row>
    <row r="470" spans="1:14" s="52" customFormat="1" ht="12.2" customHeight="1" x14ac:dyDescent="0.2">
      <c r="A470" s="93" t="s">
        <v>611</v>
      </c>
      <c r="B470" s="75">
        <v>19</v>
      </c>
      <c r="C470" s="80">
        <v>3</v>
      </c>
      <c r="D470" s="2" t="s">
        <v>432</v>
      </c>
      <c r="E470" s="80"/>
      <c r="F470" s="18">
        <v>53971.06</v>
      </c>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27331130.869999997</v>
      </c>
      <c r="G471" s="53">
        <f>SUM(G469:G470)</f>
        <v>568000.5</v>
      </c>
      <c r="H471" s="53">
        <f>SUM(H469:H470)</f>
        <v>850993.45</v>
      </c>
      <c r="I471" s="53">
        <f>SUM(I469:I470)</f>
        <v>0</v>
      </c>
      <c r="J471" s="53">
        <f>SUM(J469:J470)</f>
        <v>9031</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27226633.640000001</v>
      </c>
      <c r="G473" s="18">
        <v>544445.31999999995</v>
      </c>
      <c r="H473" s="18">
        <v>753731.08</v>
      </c>
      <c r="I473" s="18"/>
      <c r="J473" s="18">
        <v>56125.57</v>
      </c>
      <c r="K473" s="24" t="s">
        <v>288</v>
      </c>
      <c r="L473" s="24" t="s">
        <v>288</v>
      </c>
      <c r="N473" s="263"/>
    </row>
    <row r="474" spans="1:14" s="52" customFormat="1" ht="12.2" customHeight="1" x14ac:dyDescent="0.2">
      <c r="A474" s="93" t="s">
        <v>613</v>
      </c>
      <c r="B474" s="75">
        <v>19</v>
      </c>
      <c r="C474" s="80">
        <v>6</v>
      </c>
      <c r="D474" s="2" t="s">
        <v>432</v>
      </c>
      <c r="E474" s="80"/>
      <c r="F474" s="18"/>
      <c r="G474" s="18"/>
      <c r="H474" s="18">
        <v>17923.560000000001</v>
      </c>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27226633.640000001</v>
      </c>
      <c r="G475" s="53">
        <f>SUM(G473:G474)</f>
        <v>544445.31999999995</v>
      </c>
      <c r="H475" s="53">
        <f>SUM(H473:H474)</f>
        <v>771654.64</v>
      </c>
      <c r="I475" s="53">
        <f>SUM(I473:I474)</f>
        <v>0</v>
      </c>
      <c r="J475" s="53">
        <f>SUM(J473:J474)</f>
        <v>56125.57</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965604.75999999791</v>
      </c>
      <c r="G477" s="53">
        <f>(G466+G471)- G475</f>
        <v>7.000000006519258E-2</v>
      </c>
      <c r="H477" s="53">
        <f>(H466+H471)- H475</f>
        <v>306563.80999999994</v>
      </c>
      <c r="I477" s="53">
        <f>(I466+I471)- I475</f>
        <v>32790.53</v>
      </c>
      <c r="J477" s="53">
        <f>(J466+J471)- J475</f>
        <v>43113.000000000007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1683</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8" t="s">
        <v>1684</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20</v>
      </c>
      <c r="H491" s="154">
        <v>20</v>
      </c>
      <c r="I491" s="154">
        <v>20</v>
      </c>
      <c r="J491" s="154">
        <v>15</v>
      </c>
      <c r="K491" s="24" t="s">
        <v>288</v>
      </c>
      <c r="L491" s="24" t="s">
        <v>288</v>
      </c>
      <c r="N491" s="263"/>
    </row>
    <row r="492" spans="1:14" s="52" customFormat="1" ht="12.2" customHeight="1" x14ac:dyDescent="0.2">
      <c r="A492" s="22" t="s">
        <v>615</v>
      </c>
      <c r="B492" s="75">
        <v>20</v>
      </c>
      <c r="C492" s="115">
        <v>2</v>
      </c>
      <c r="D492" s="2" t="s">
        <v>432</v>
      </c>
      <c r="E492" s="115"/>
      <c r="F492" s="155" t="s">
        <v>1673</v>
      </c>
      <c r="G492" s="155" t="s">
        <v>1674</v>
      </c>
      <c r="H492" s="155" t="s">
        <v>1675</v>
      </c>
      <c r="I492" s="155" t="s">
        <v>1676</v>
      </c>
      <c r="J492" s="155" t="s">
        <v>1677</v>
      </c>
      <c r="K492" s="24" t="s">
        <v>288</v>
      </c>
      <c r="L492" s="24" t="s">
        <v>288</v>
      </c>
      <c r="N492" s="263"/>
    </row>
    <row r="493" spans="1:14" s="52" customFormat="1" ht="12.2" customHeight="1" x14ac:dyDescent="0.2">
      <c r="A493" s="22" t="s">
        <v>616</v>
      </c>
      <c r="B493" s="75">
        <v>20</v>
      </c>
      <c r="C493" s="115">
        <v>3</v>
      </c>
      <c r="D493" s="2" t="s">
        <v>432</v>
      </c>
      <c r="E493" s="115"/>
      <c r="F493" s="155" t="s">
        <v>1678</v>
      </c>
      <c r="G493" s="155" t="s">
        <v>1679</v>
      </c>
      <c r="H493" s="155" t="s">
        <v>1680</v>
      </c>
      <c r="I493" s="155" t="s">
        <v>1681</v>
      </c>
      <c r="J493" s="155" t="s">
        <v>1682</v>
      </c>
      <c r="K493" s="24" t="s">
        <v>288</v>
      </c>
      <c r="L493" s="24" t="s">
        <v>288</v>
      </c>
      <c r="N493" s="263"/>
    </row>
    <row r="494" spans="1:14" s="52" customFormat="1" ht="12.2" customHeight="1" x14ac:dyDescent="0.2">
      <c r="A494" s="22" t="s">
        <v>617</v>
      </c>
      <c r="B494" s="75">
        <v>20</v>
      </c>
      <c r="C494" s="115">
        <v>4</v>
      </c>
      <c r="D494" s="2" t="s">
        <v>432</v>
      </c>
      <c r="E494" s="115"/>
      <c r="F494" s="18">
        <v>2532900</v>
      </c>
      <c r="G494" s="18">
        <v>4000000</v>
      </c>
      <c r="H494" s="18">
        <v>38460936</v>
      </c>
      <c r="I494" s="18">
        <v>1100000</v>
      </c>
      <c r="J494" s="18">
        <v>900000</v>
      </c>
      <c r="K494" s="24" t="s">
        <v>288</v>
      </c>
      <c r="L494" s="24" t="s">
        <v>288</v>
      </c>
      <c r="N494" s="263"/>
    </row>
    <row r="495" spans="1:14" s="52" customFormat="1" ht="12.2" customHeight="1" x14ac:dyDescent="0.2">
      <c r="A495" s="22" t="s">
        <v>618</v>
      </c>
      <c r="B495" s="75">
        <v>20</v>
      </c>
      <c r="C495" s="115">
        <v>5</v>
      </c>
      <c r="D495" s="2" t="s">
        <v>432</v>
      </c>
      <c r="E495" s="115"/>
      <c r="F495" s="18">
        <v>4.08</v>
      </c>
      <c r="G495" s="18">
        <v>4.47</v>
      </c>
      <c r="H495" s="18">
        <v>4.62</v>
      </c>
      <c r="I495" s="18">
        <v>4.71</v>
      </c>
      <c r="J495" s="18">
        <v>2.8</v>
      </c>
      <c r="K495" s="24" t="s">
        <v>288</v>
      </c>
      <c r="L495" s="24" t="s">
        <v>288</v>
      </c>
      <c r="N495" s="263"/>
    </row>
    <row r="496" spans="1:14" s="52" customFormat="1" ht="12.2" customHeight="1" x14ac:dyDescent="0.2">
      <c r="A496" s="22" t="s">
        <v>619</v>
      </c>
      <c r="B496" s="75">
        <v>20</v>
      </c>
      <c r="C496" s="115">
        <v>6</v>
      </c>
      <c r="D496" s="2" t="s">
        <v>432</v>
      </c>
      <c r="E496" s="115"/>
      <c r="F496" s="18">
        <v>651181</v>
      </c>
      <c r="G496" s="18">
        <v>695843</v>
      </c>
      <c r="H496" s="18">
        <v>4951805</v>
      </c>
      <c r="I496" s="18">
        <v>110000</v>
      </c>
      <c r="J496" s="18">
        <v>900000</v>
      </c>
      <c r="K496" s="53">
        <f>SUM(F496:J496)</f>
        <v>7308829</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105786</v>
      </c>
      <c r="G498" s="18">
        <v>151763</v>
      </c>
      <c r="H498" s="18">
        <v>1326203</v>
      </c>
      <c r="I498" s="18">
        <v>55000</v>
      </c>
      <c r="J498" s="18">
        <v>60000</v>
      </c>
      <c r="K498" s="53">
        <f t="shared" si="35"/>
        <v>1698752</v>
      </c>
      <c r="L498" s="24" t="s">
        <v>288</v>
      </c>
      <c r="N498" s="263"/>
    </row>
    <row r="499" spans="1:14" s="52" customFormat="1" ht="12.2" customHeight="1" x14ac:dyDescent="0.2">
      <c r="A499" s="200" t="s">
        <v>622</v>
      </c>
      <c r="B499" s="201">
        <v>20</v>
      </c>
      <c r="C499" s="202">
        <v>9</v>
      </c>
      <c r="D499" s="203" t="s">
        <v>432</v>
      </c>
      <c r="E499" s="202"/>
      <c r="F499" s="204">
        <f>F496-F498</f>
        <v>545395</v>
      </c>
      <c r="G499" s="204">
        <f t="shared" ref="G499:J499" si="36">G496-G498</f>
        <v>544080</v>
      </c>
      <c r="H499" s="204">
        <f t="shared" si="36"/>
        <v>3625602</v>
      </c>
      <c r="I499" s="204">
        <f t="shared" si="36"/>
        <v>55000</v>
      </c>
      <c r="J499" s="204">
        <f t="shared" si="36"/>
        <v>840000</v>
      </c>
      <c r="K499" s="205">
        <f t="shared" si="35"/>
        <v>5610077</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545395</v>
      </c>
      <c r="G501" s="42">
        <f>SUM(G499:G500)</f>
        <v>544080</v>
      </c>
      <c r="H501" s="42">
        <f>SUM(H499:H500)</f>
        <v>3625602</v>
      </c>
      <c r="I501" s="42">
        <f>SUM(I499:I500)</f>
        <v>55000</v>
      </c>
      <c r="J501" s="42">
        <f>SUM(J499:J500)</f>
        <v>840000</v>
      </c>
      <c r="K501" s="42">
        <f t="shared" si="35"/>
        <v>5610077</v>
      </c>
      <c r="L501" s="45" t="s">
        <v>288</v>
      </c>
      <c r="N501" s="263"/>
    </row>
    <row r="502" spans="1:14" s="52" customFormat="1" ht="12.2" customHeight="1" x14ac:dyDescent="0.2">
      <c r="A502" s="200" t="s">
        <v>651</v>
      </c>
      <c r="B502" s="201">
        <v>20</v>
      </c>
      <c r="C502" s="202">
        <v>12</v>
      </c>
      <c r="D502" s="203" t="s">
        <v>432</v>
      </c>
      <c r="E502" s="202"/>
      <c r="F502" s="204">
        <v>100927</v>
      </c>
      <c r="G502" s="204">
        <v>144833</v>
      </c>
      <c r="H502" s="204">
        <v>1265070</v>
      </c>
      <c r="I502" s="204">
        <v>55000</v>
      </c>
      <c r="J502" s="204">
        <v>60000</v>
      </c>
      <c r="K502" s="205">
        <f t="shared" si="35"/>
        <v>1625830</v>
      </c>
      <c r="L502" s="206" t="s">
        <v>288</v>
      </c>
      <c r="N502" s="263"/>
    </row>
    <row r="503" spans="1:14" s="52" customFormat="1" ht="12.2" customHeight="1" thickBot="1" x14ac:dyDescent="0.25">
      <c r="A503" s="22" t="s">
        <v>625</v>
      </c>
      <c r="B503" s="75">
        <v>20</v>
      </c>
      <c r="C503" s="115">
        <v>13</v>
      </c>
      <c r="D503" s="2" t="s">
        <v>432</v>
      </c>
      <c r="E503" s="115"/>
      <c r="F503" s="18">
        <v>81130</v>
      </c>
      <c r="G503" s="18">
        <v>161523</v>
      </c>
      <c r="H503" s="18">
        <v>1681524</v>
      </c>
      <c r="I503" s="18">
        <v>1375</v>
      </c>
      <c r="J503" s="18">
        <v>23520</v>
      </c>
      <c r="K503" s="53">
        <f t="shared" si="35"/>
        <v>1949072</v>
      </c>
      <c r="L503" s="24" t="s">
        <v>288</v>
      </c>
      <c r="N503" s="263"/>
    </row>
    <row r="504" spans="1:14" s="52" customFormat="1" ht="12.2" customHeight="1" thickTop="1" x14ac:dyDescent="0.2">
      <c r="A504" s="139" t="s">
        <v>626</v>
      </c>
      <c r="B504" s="44">
        <v>20</v>
      </c>
      <c r="C504" s="195">
        <v>14</v>
      </c>
      <c r="D504" s="39" t="s">
        <v>432</v>
      </c>
      <c r="E504" s="195"/>
      <c r="F504" s="42">
        <f>SUM(F502:F503)</f>
        <v>182057</v>
      </c>
      <c r="G504" s="42">
        <f>SUM(G502:G503)</f>
        <v>306356</v>
      </c>
      <c r="H504" s="42">
        <f>SUM(H502:H503)</f>
        <v>2946594</v>
      </c>
      <c r="I504" s="42">
        <f>SUM(I502:I503)</f>
        <v>56375</v>
      </c>
      <c r="J504" s="42">
        <f>SUM(J502:J503)</f>
        <v>83520</v>
      </c>
      <c r="K504" s="42">
        <f t="shared" si="35"/>
        <v>3574902</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1134313.24</v>
      </c>
      <c r="G522" s="18">
        <v>186972.77</v>
      </c>
      <c r="H522" s="18">
        <v>9839.75</v>
      </c>
      <c r="I522" s="18">
        <v>2198.0100000000002</v>
      </c>
      <c r="J522" s="18">
        <v>31662.57</v>
      </c>
      <c r="K522" s="18">
        <v>0</v>
      </c>
      <c r="L522" s="88">
        <f>SUM(F522:K522)</f>
        <v>1364986.34</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v>1003117.92</v>
      </c>
      <c r="G524" s="18">
        <v>155455.34</v>
      </c>
      <c r="H524" s="18">
        <v>15448.25</v>
      </c>
      <c r="I524" s="18">
        <v>2685.96</v>
      </c>
      <c r="J524" s="18">
        <v>1357.51</v>
      </c>
      <c r="K524" s="18">
        <v>736</v>
      </c>
      <c r="L524" s="88">
        <f>SUM(F524:K524)</f>
        <v>1178800.98</v>
      </c>
      <c r="N524" s="263"/>
    </row>
    <row r="525" spans="1:14" s="52" customFormat="1" ht="12.2" customHeight="1" thickTop="1" x14ac:dyDescent="0.2">
      <c r="A525" s="139" t="s">
        <v>63</v>
      </c>
      <c r="B525" s="107">
        <v>21</v>
      </c>
      <c r="C525" s="195">
        <v>4</v>
      </c>
      <c r="D525" s="196" t="s">
        <v>432</v>
      </c>
      <c r="E525" s="195"/>
      <c r="F525" s="108">
        <f>SUM(F522:F524)</f>
        <v>2137431.16</v>
      </c>
      <c r="G525" s="108">
        <f t="shared" ref="G525:L525" si="37">SUM(G522:G524)</f>
        <v>342428.11</v>
      </c>
      <c r="H525" s="108">
        <f t="shared" si="37"/>
        <v>25288</v>
      </c>
      <c r="I525" s="108">
        <f t="shared" si="37"/>
        <v>4883.97</v>
      </c>
      <c r="J525" s="108">
        <f t="shared" si="37"/>
        <v>33020.080000000002</v>
      </c>
      <c r="K525" s="108">
        <f t="shared" si="37"/>
        <v>736</v>
      </c>
      <c r="L525" s="89">
        <f t="shared" si="37"/>
        <v>2543787.3200000003</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v>8914.75</v>
      </c>
      <c r="I527" s="18"/>
      <c r="J527" s="18"/>
      <c r="K527" s="18"/>
      <c r="L527" s="88">
        <f>SUM(F527:K527)</f>
        <v>8914.75</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v>15448.25</v>
      </c>
      <c r="I529" s="18"/>
      <c r="J529" s="18"/>
      <c r="K529" s="18"/>
      <c r="L529" s="88">
        <f>SUM(F529:K529)</f>
        <v>15448.25</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8">SUM(G527:G529)</f>
        <v>0</v>
      </c>
      <c r="H530" s="89">
        <f t="shared" si="38"/>
        <v>24363</v>
      </c>
      <c r="I530" s="89">
        <f t="shared" si="38"/>
        <v>0</v>
      </c>
      <c r="J530" s="89">
        <f t="shared" si="38"/>
        <v>0</v>
      </c>
      <c r="K530" s="89">
        <f t="shared" si="38"/>
        <v>0</v>
      </c>
      <c r="L530" s="89">
        <f t="shared" si="38"/>
        <v>24363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29485</v>
      </c>
      <c r="G532" s="18">
        <v>10096</v>
      </c>
      <c r="H532" s="18">
        <v>974</v>
      </c>
      <c r="I532" s="18"/>
      <c r="J532" s="18"/>
      <c r="K532" s="18"/>
      <c r="L532" s="88">
        <f>SUM(F532:K532)</f>
        <v>40555</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v>56022</v>
      </c>
      <c r="G534" s="18">
        <v>20892</v>
      </c>
      <c r="H534" s="18">
        <v>1851</v>
      </c>
      <c r="I534" s="18"/>
      <c r="J534" s="18"/>
      <c r="K534" s="18"/>
      <c r="L534" s="88">
        <f>SUM(F534:K534)</f>
        <v>78765</v>
      </c>
      <c r="M534" s="8"/>
      <c r="N534" s="264"/>
    </row>
    <row r="535" spans="1:14" s="3" customFormat="1" ht="12.2" customHeight="1" thickTop="1" x14ac:dyDescent="0.15">
      <c r="A535" s="139" t="s">
        <v>67</v>
      </c>
      <c r="B535" s="107">
        <v>21</v>
      </c>
      <c r="C535" s="107">
        <v>12</v>
      </c>
      <c r="D535" s="158" t="s">
        <v>432</v>
      </c>
      <c r="E535" s="107"/>
      <c r="F535" s="89">
        <f>SUM(F532:F534)</f>
        <v>85507</v>
      </c>
      <c r="G535" s="89">
        <f t="shared" ref="G535:L535" si="39">SUM(G532:G534)</f>
        <v>30988</v>
      </c>
      <c r="H535" s="89">
        <f t="shared" si="39"/>
        <v>2825</v>
      </c>
      <c r="I535" s="89">
        <f t="shared" si="39"/>
        <v>0</v>
      </c>
      <c r="J535" s="89">
        <f t="shared" si="39"/>
        <v>0</v>
      </c>
      <c r="K535" s="89">
        <f t="shared" si="39"/>
        <v>0</v>
      </c>
      <c r="L535" s="89">
        <f t="shared" si="39"/>
        <v>119320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2875.8</v>
      </c>
      <c r="I537" s="18"/>
      <c r="J537" s="18"/>
      <c r="K537" s="18"/>
      <c r="L537" s="88">
        <f>SUM(F537:K537)</f>
        <v>2875.8</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v>5838.75</v>
      </c>
      <c r="I539" s="18"/>
      <c r="J539" s="18"/>
      <c r="K539" s="18"/>
      <c r="L539" s="88">
        <f>SUM(F539:K539)</f>
        <v>5838.75</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8714.5499999999993</v>
      </c>
      <c r="I540" s="89">
        <f t="shared" si="40"/>
        <v>0</v>
      </c>
      <c r="J540" s="89">
        <f t="shared" si="40"/>
        <v>0</v>
      </c>
      <c r="K540" s="89">
        <f t="shared" si="40"/>
        <v>0</v>
      </c>
      <c r="L540" s="89">
        <f t="shared" si="40"/>
        <v>8714.5499999999993</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1402.06</v>
      </c>
      <c r="I542" s="18"/>
      <c r="J542" s="18"/>
      <c r="K542" s="18"/>
      <c r="L542" s="88">
        <f>SUM(F542:K542)</f>
        <v>1402.06</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1402.06</v>
      </c>
      <c r="I545" s="193">
        <f t="shared" si="41"/>
        <v>0</v>
      </c>
      <c r="J545" s="193">
        <f t="shared" si="41"/>
        <v>0</v>
      </c>
      <c r="K545" s="193">
        <f t="shared" si="41"/>
        <v>0</v>
      </c>
      <c r="L545" s="193">
        <f t="shared" si="41"/>
        <v>1402.06</v>
      </c>
      <c r="M545" s="8"/>
      <c r="N545" s="264"/>
    </row>
    <row r="546" spans="1:14" s="3" customFormat="1" ht="12.2" customHeight="1" thickTop="1" x14ac:dyDescent="0.15">
      <c r="A546" s="98" t="s">
        <v>72</v>
      </c>
      <c r="B546" s="107">
        <v>21</v>
      </c>
      <c r="C546" s="107">
        <v>21</v>
      </c>
      <c r="D546" s="158" t="s">
        <v>432</v>
      </c>
      <c r="E546" s="107"/>
      <c r="F546" s="89">
        <f>F525+F530+F535+F540+F545</f>
        <v>2222938.16</v>
      </c>
      <c r="G546" s="89">
        <f t="shared" ref="G546:L546" si="42">G525+G530+G535+G540+G545</f>
        <v>373416.11</v>
      </c>
      <c r="H546" s="89">
        <f t="shared" si="42"/>
        <v>62592.61</v>
      </c>
      <c r="I546" s="89">
        <f t="shared" si="42"/>
        <v>4883.97</v>
      </c>
      <c r="J546" s="89">
        <f t="shared" si="42"/>
        <v>33020.080000000002</v>
      </c>
      <c r="K546" s="89">
        <f t="shared" si="42"/>
        <v>736</v>
      </c>
      <c r="L546" s="89">
        <f t="shared" si="42"/>
        <v>2697586.93</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1364986.34</v>
      </c>
      <c r="G550" s="87">
        <f>L527</f>
        <v>8914.75</v>
      </c>
      <c r="H550" s="87">
        <f>L532</f>
        <v>40555</v>
      </c>
      <c r="I550" s="87">
        <f>L537</f>
        <v>2875.8</v>
      </c>
      <c r="J550" s="87">
        <f>L542</f>
        <v>1402.06</v>
      </c>
      <c r="K550" s="87">
        <f>SUM(F550:J550)</f>
        <v>1418733.9500000002</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1178800.98</v>
      </c>
      <c r="G552" s="87">
        <f>L529</f>
        <v>15448.25</v>
      </c>
      <c r="H552" s="87">
        <f>L534</f>
        <v>78765</v>
      </c>
      <c r="I552" s="87">
        <f>L539</f>
        <v>5838.75</v>
      </c>
      <c r="J552" s="87">
        <f>L544</f>
        <v>0</v>
      </c>
      <c r="K552" s="87">
        <f>SUM(F552:J552)</f>
        <v>1278852.98</v>
      </c>
      <c r="L552" s="24" t="s">
        <v>288</v>
      </c>
      <c r="M552" s="8"/>
      <c r="N552" s="264"/>
    </row>
    <row r="553" spans="1:14" s="3" customFormat="1" ht="12.2" customHeight="1" thickTop="1" x14ac:dyDescent="0.15">
      <c r="A553" s="172" t="s">
        <v>340</v>
      </c>
      <c r="B553" s="44">
        <v>21</v>
      </c>
      <c r="C553" s="44">
        <v>25</v>
      </c>
      <c r="D553" s="39" t="s">
        <v>432</v>
      </c>
      <c r="E553" s="44"/>
      <c r="F553" s="89">
        <f t="shared" ref="F553:K553" si="43">SUM(F550:F552)</f>
        <v>2543787.3200000003</v>
      </c>
      <c r="G553" s="89">
        <f t="shared" si="43"/>
        <v>24363</v>
      </c>
      <c r="H553" s="89">
        <f t="shared" si="43"/>
        <v>119320</v>
      </c>
      <c r="I553" s="89">
        <f t="shared" si="43"/>
        <v>8714.5499999999993</v>
      </c>
      <c r="J553" s="89">
        <f t="shared" si="43"/>
        <v>1402.06</v>
      </c>
      <c r="K553" s="89">
        <f t="shared" si="43"/>
        <v>2697586.93</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8"/>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8"/>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v>102344.76</v>
      </c>
      <c r="I586" s="87">
        <f t="shared" si="48"/>
        <v>102344.76</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c r="I592" s="18"/>
      <c r="J592" s="18">
        <v>39422.58</v>
      </c>
      <c r="K592" s="104">
        <f t="shared" ref="K592:K598" si="49">SUM(H592:J592)</f>
        <v>39422.58</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1402.06</v>
      </c>
      <c r="I593" s="18"/>
      <c r="J593" s="18"/>
      <c r="K593" s="104">
        <f t="shared" si="49"/>
        <v>1402.06</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44608.61</v>
      </c>
      <c r="K594" s="104">
        <f t="shared" si="49"/>
        <v>44608.61</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v>47115.97</v>
      </c>
      <c r="K595" s="104">
        <f t="shared" si="49"/>
        <v>47115.97</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2447.52</v>
      </c>
      <c r="I596" s="18"/>
      <c r="J596" s="18">
        <v>727.36</v>
      </c>
      <c r="K596" s="104">
        <f t="shared" si="49"/>
        <v>3174.88</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3849.58</v>
      </c>
      <c r="I599" s="108">
        <f>SUM(I592:I598)</f>
        <v>0</v>
      </c>
      <c r="J599" s="108">
        <f>SUM(J592:J598)</f>
        <v>131874.51999999999</v>
      </c>
      <c r="K599" s="108">
        <f>SUM(K592:K598)</f>
        <v>135724.1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132226.84+129958.77</f>
        <v>262185.61</v>
      </c>
      <c r="I605" s="18"/>
      <c r="J605" s="18">
        <f>316089.42+96605.47</f>
        <v>412694.89</v>
      </c>
      <c r="K605" s="104">
        <f>SUM(H605:J605)</f>
        <v>674880.5</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262185.61</v>
      </c>
      <c r="I606" s="108">
        <f>SUM(I603:I605)</f>
        <v>0</v>
      </c>
      <c r="J606" s="108">
        <f>SUM(J603:J605)</f>
        <v>412694.89</v>
      </c>
      <c r="K606" s="108">
        <f>SUM(K603:K605)</f>
        <v>674880.5</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8773.84</v>
      </c>
      <c r="G612" s="18">
        <v>2807.63</v>
      </c>
      <c r="H612" s="18">
        <v>4293</v>
      </c>
      <c r="I612" s="18">
        <v>0</v>
      </c>
      <c r="J612" s="18">
        <v>0</v>
      </c>
      <c r="K612" s="18">
        <v>0</v>
      </c>
      <c r="L612" s="88">
        <f>SUM(F612:K612)</f>
        <v>15874.470000000001</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v>7534.65</v>
      </c>
      <c r="G614" s="18">
        <v>2411.09</v>
      </c>
      <c r="H614" s="18">
        <v>11334.7</v>
      </c>
      <c r="I614" s="18">
        <v>0</v>
      </c>
      <c r="J614" s="18">
        <v>0</v>
      </c>
      <c r="K614" s="18">
        <v>0</v>
      </c>
      <c r="L614" s="88">
        <f>SUM(F614:K614)</f>
        <v>21280.440000000002</v>
      </c>
      <c r="M614" s="8"/>
      <c r="N614" s="264"/>
    </row>
    <row r="615" spans="1:14" s="3" customFormat="1" ht="12.2" customHeight="1" thickTop="1" x14ac:dyDescent="0.15">
      <c r="A615" s="98" t="s">
        <v>340</v>
      </c>
      <c r="B615" s="107">
        <v>23</v>
      </c>
      <c r="C615" s="107">
        <v>16</v>
      </c>
      <c r="D615" s="39" t="s">
        <v>432</v>
      </c>
      <c r="E615" s="107"/>
      <c r="F615" s="108">
        <f t="shared" ref="F615:L615" si="50">SUM(F612:F614)</f>
        <v>16308.49</v>
      </c>
      <c r="G615" s="108">
        <f t="shared" si="50"/>
        <v>5218.72</v>
      </c>
      <c r="H615" s="108">
        <f t="shared" si="50"/>
        <v>15627.7</v>
      </c>
      <c r="I615" s="108">
        <f t="shared" si="50"/>
        <v>0</v>
      </c>
      <c r="J615" s="108">
        <f t="shared" si="50"/>
        <v>0</v>
      </c>
      <c r="K615" s="108">
        <f t="shared" si="50"/>
        <v>0</v>
      </c>
      <c r="L615" s="89">
        <f t="shared" si="50"/>
        <v>37154.910000000003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1323119.45</v>
      </c>
      <c r="H618" s="109">
        <f>SUM(F52)</f>
        <v>1323119.45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3.9290237729971977E-12</v>
      </c>
      <c r="I619" s="121" t="s">
        <v>876</v>
      </c>
      <c r="J619" s="109">
        <f>G619-H619</f>
        <v>-3.9290237729971977E-12</v>
      </c>
      <c r="K619" s="109"/>
      <c r="L619" s="109"/>
      <c r="M619" s="8"/>
    </row>
    <row r="620" spans="1:14" s="3" customFormat="1" ht="12.2" customHeight="1" x14ac:dyDescent="0.15">
      <c r="A620" s="97"/>
      <c r="B620" s="105"/>
      <c r="C620" s="105"/>
      <c r="D620" s="105"/>
      <c r="E620" s="105"/>
      <c r="F620" s="121" t="s">
        <v>685</v>
      </c>
      <c r="G620" s="109">
        <f>SUM(H19)</f>
        <v>80904.73000000001</v>
      </c>
      <c r="H620" s="109">
        <f>SUM(H52)</f>
        <v>80904.73000000001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43113</v>
      </c>
      <c r="H622" s="109">
        <f>SUM(J52)</f>
        <v>43113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965604.76</v>
      </c>
      <c r="H623" s="109">
        <f>F477</f>
        <v>965604.75999999791</v>
      </c>
      <c r="I623" s="121" t="s">
        <v>101</v>
      </c>
      <c r="J623" s="109">
        <f t="shared" ref="J623:J656" si="51">G623-H623</f>
        <v>2.0954757928848267E-9</v>
      </c>
      <c r="K623" s="109"/>
      <c r="L623" s="109"/>
      <c r="M623" s="8"/>
    </row>
    <row r="624" spans="1:14" s="3" customFormat="1" ht="12.2" customHeight="1" x14ac:dyDescent="0.15">
      <c r="A624" s="97"/>
      <c r="B624" s="105"/>
      <c r="C624" s="119"/>
      <c r="D624" s="119"/>
      <c r="E624" s="119"/>
      <c r="F624" s="119" t="s">
        <v>866</v>
      </c>
      <c r="G624" s="109">
        <f>G51</f>
        <v>7.0000000000000007E-2</v>
      </c>
      <c r="H624" s="109">
        <f>G477</f>
        <v>7.000000006519258E-2</v>
      </c>
      <c r="I624" s="121" t="s">
        <v>102</v>
      </c>
      <c r="J624" s="109">
        <f t="shared" si="51"/>
        <v>-6.5192573561745348E-11</v>
      </c>
      <c r="K624" s="109"/>
      <c r="L624" s="109"/>
      <c r="M624" s="8"/>
    </row>
    <row r="625" spans="1:13" s="3" customFormat="1" ht="12.2" customHeight="1" x14ac:dyDescent="0.15">
      <c r="A625" s="97"/>
      <c r="B625" s="105"/>
      <c r="C625" s="105"/>
      <c r="D625" s="105"/>
      <c r="E625" s="105"/>
      <c r="F625" s="120" t="s">
        <v>867</v>
      </c>
      <c r="G625" s="109">
        <f>H51</f>
        <v>306563.81</v>
      </c>
      <c r="H625" s="109">
        <f>H477</f>
        <v>306563.80999999994</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32790.53</v>
      </c>
      <c r="H626" s="109">
        <f>I477</f>
        <v>32790.53</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43113</v>
      </c>
      <c r="H627" s="109">
        <f>J477</f>
        <v>43113.000000000007</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27277159.809999999</v>
      </c>
      <c r="H628" s="104">
        <f>SUM(F469)</f>
        <v>27277159.809999999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568000.5</v>
      </c>
      <c r="H629" s="104">
        <f>SUM(G469)</f>
        <v>568000.5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850993.45</v>
      </c>
      <c r="H630" s="104">
        <f>SUM(H469)</f>
        <v>850993.45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9031</v>
      </c>
      <c r="H632" s="104">
        <f>SUM(J469)</f>
        <v>9031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27226633.639999993</v>
      </c>
      <c r="H633" s="104">
        <f>SUM(F473)</f>
        <v>27226633.640000001</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753731.08000000007</v>
      </c>
      <c r="H634" s="104">
        <f>SUM(H473)</f>
        <v>753731.08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106396.25</v>
      </c>
      <c r="H635" s="104">
        <f>I370</f>
        <v>106396.25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544445.32000000007</v>
      </c>
      <c r="H636" s="104">
        <f>SUM(G473)</f>
        <v>544445.31999999995</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9031</v>
      </c>
      <c r="H638" s="164">
        <f>SUM(J469)</f>
        <v>9031</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56125.57</v>
      </c>
      <c r="H639" s="164">
        <f>SUM(J473)</f>
        <v>56125.57</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43113</v>
      </c>
      <c r="H641" s="104">
        <f>SUM(G462)</f>
        <v>43113</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43113</v>
      </c>
      <c r="H643" s="104">
        <f>SUM(I462)</f>
        <v>43113</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9031</v>
      </c>
      <c r="H645" s="104">
        <f>H409</f>
        <v>9031</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9031</v>
      </c>
      <c r="H647" s="104">
        <f>L409</f>
        <v>9031</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135724.1</v>
      </c>
      <c r="H648" s="104">
        <f>L209+L227+L245</f>
        <v>135724.09999999998</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674880.5</v>
      </c>
      <c r="H649" s="104">
        <f>(J258+J339)-(J256+J337)</f>
        <v>674880.5</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3849.58</v>
      </c>
      <c r="H650" s="104">
        <f>H599</f>
        <v>3849.58</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131874.51999999999</v>
      </c>
      <c r="H652" s="104">
        <f>J599</f>
        <v>131874.51999999999</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103445.5</v>
      </c>
      <c r="H653" s="104">
        <f>K264+K346</f>
        <v>103445.5</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8813747.2399999984</v>
      </c>
      <c r="G661" s="19">
        <f>(L230+L310+L360)</f>
        <v>0</v>
      </c>
      <c r="H661" s="19">
        <f>(L248+L329+L361)</f>
        <v>15720610.899999997</v>
      </c>
      <c r="I661" s="19">
        <f>SUM(F661:H661)</f>
        <v>24534358.139999993</v>
      </c>
      <c r="J661" s="13"/>
      <c r="K661" s="13"/>
      <c r="L661" s="13"/>
      <c r="M661" s="9"/>
    </row>
    <row r="662" spans="1:13" s="3" customFormat="1" ht="12.2" customHeight="1" x14ac:dyDescent="0.2">
      <c r="A662" s="1" t="s">
        <v>127</v>
      </c>
      <c r="F662" s="19">
        <f>(L359/IF(SUM(L359:L361)=0,1,SUM(L359:L361))*(SUM(G97:G110)))</f>
        <v>181375.8449146004</v>
      </c>
      <c r="G662" s="19">
        <f>(L360/IF(SUM(L359:L361)=0,1,SUM(L359:L361))*(SUM(G97:G110)))</f>
        <v>0</v>
      </c>
      <c r="H662" s="19">
        <f>(L361/IF(SUM(L359:L361)=0,1,SUM(L359:L361))*(SUM(G97:G110)))</f>
        <v>283179.15508539957</v>
      </c>
      <c r="I662" s="19">
        <f>SUM(F662:H662)</f>
        <v>464555</v>
      </c>
      <c r="J662"/>
      <c r="K662" s="13"/>
      <c r="L662" s="13"/>
      <c r="M662" s="8"/>
    </row>
    <row r="663" spans="1:13" s="3" customFormat="1" ht="12.2" customHeight="1" x14ac:dyDescent="0.2">
      <c r="A663" s="1" t="s">
        <v>128</v>
      </c>
      <c r="F663" s="19">
        <f>(L209+L288)-(J209+J288)</f>
        <v>3849.58</v>
      </c>
      <c r="G663" s="19">
        <f>(L227+L307)-(J227+J307)</f>
        <v>0</v>
      </c>
      <c r="H663" s="19">
        <f>(L245+L326)-(J245+J326)</f>
        <v>131874.51999999999</v>
      </c>
      <c r="I663" s="19">
        <f>SUM(F663:H663)</f>
        <v>135724.09999999998</v>
      </c>
      <c r="J663"/>
      <c r="K663" s="13"/>
      <c r="L663" s="13"/>
      <c r="M663" s="9"/>
    </row>
    <row r="664" spans="1:13" s="3" customFormat="1" ht="12.2" customHeight="1" x14ac:dyDescent="0.15">
      <c r="A664" s="198" t="s">
        <v>129</v>
      </c>
      <c r="B664" s="169"/>
      <c r="C664" s="169"/>
      <c r="D664" s="169"/>
      <c r="E664" s="169"/>
      <c r="F664" s="199">
        <f>SUM(F576:F588)+SUM(H603:H605)+SUM(L612)</f>
        <v>278060.07999999996</v>
      </c>
      <c r="G664" s="199">
        <f>SUM(G576:G588)+SUM(I603:I605)+L613</f>
        <v>0</v>
      </c>
      <c r="H664" s="199">
        <f>SUM(H576:H588)+SUM(J603:J605)+L614</f>
        <v>536320.09000000008</v>
      </c>
      <c r="I664" s="19">
        <f>SUM(F664:H664)</f>
        <v>814380.17</v>
      </c>
      <c r="J664" s="13"/>
      <c r="K664" s="13"/>
      <c r="L664" s="13"/>
      <c r="M664" s="9"/>
    </row>
    <row r="665" spans="1:13" s="3" customFormat="1" ht="12.2" customHeight="1" x14ac:dyDescent="0.15">
      <c r="A665" s="1" t="s">
        <v>130</v>
      </c>
      <c r="F665" s="19">
        <f>F661-SUM(F662:F664)</f>
        <v>8350461.735085398</v>
      </c>
      <c r="G665" s="19">
        <f>G661-SUM(G662:G664)</f>
        <v>0</v>
      </c>
      <c r="H665" s="19">
        <f>H661-SUM(H662:H664)</f>
        <v>14769237.134914597</v>
      </c>
      <c r="I665" s="19">
        <f>I661-SUM(I662:I664)</f>
        <v>23119698.869999994</v>
      </c>
      <c r="J665" s="13"/>
      <c r="K665" s="13"/>
      <c r="L665" s="13"/>
      <c r="M665" s="8"/>
    </row>
    <row r="666" spans="1:13" s="3" customFormat="1" ht="12.2" customHeight="1" x14ac:dyDescent="0.25">
      <c r="A666" s="1" t="s">
        <v>131</v>
      </c>
      <c r="F666" s="359">
        <v>358.36</v>
      </c>
      <c r="G666" s="359">
        <v>0</v>
      </c>
      <c r="H666" s="359">
        <v>692.44</v>
      </c>
      <c r="I666" s="19">
        <f>SUM(F666:H666)</f>
        <v>1050.8000000000002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23301.88</v>
      </c>
      <c r="G668" s="19" t="e">
        <f>ROUND(G665/G666,2)</f>
        <v>#DIV/0!</v>
      </c>
      <c r="H668" s="19">
        <f>ROUND(H665/H666,2)</f>
        <v>21329.27</v>
      </c>
      <c r="I668" s="19">
        <f>ROUND(I665/I666,2)</f>
        <v>22002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v>
      </c>
      <c r="I671" s="19">
        <f>SUM(F671:H671)</f>
        <v>-3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23301.88</v>
      </c>
      <c r="G673" s="19" t="e">
        <f>ROUND((G665+G670)/(G666+G671),2)</f>
        <v>#DIV/0!</v>
      </c>
      <c r="H673" s="19">
        <f>ROUND((H665+H670)/(H666+H671),2)</f>
        <v>21422.080000000002</v>
      </c>
      <c r="I673" s="19">
        <f>ROUND((I665+I670)/(I666+I671),2)</f>
        <v>22064.99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28" sqref="E28"/>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23892.34</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301138.52</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301138.52-138408.35</f>
        <v>162730.17000000001</v>
      </c>
      <c r="F22" s="346"/>
    </row>
    <row r="23" spans="2:8" x14ac:dyDescent="0.25">
      <c r="B23" s="346"/>
      <c r="C23" s="346"/>
      <c r="D23" s="346"/>
      <c r="E23" s="346"/>
      <c r="F23" s="346"/>
    </row>
    <row r="24" spans="2:8" ht="26.25" customHeight="1" x14ac:dyDescent="0.25">
      <c r="B24" s="346"/>
      <c r="C24" s="348" t="s">
        <v>1661</v>
      </c>
      <c r="D24" s="346"/>
      <c r="E24" s="341">
        <v>162730.17000000001</v>
      </c>
      <c r="F24" s="346"/>
    </row>
    <row r="25" spans="2:8" ht="18" x14ac:dyDescent="0.25">
      <c r="B25" s="346"/>
      <c r="C25" s="349"/>
      <c r="D25" s="346"/>
      <c r="E25" s="346"/>
      <c r="F25" s="346"/>
    </row>
    <row r="26" spans="2:8" ht="27.75" customHeight="1" x14ac:dyDescent="0.25">
      <c r="B26" s="346"/>
      <c r="C26" s="348" t="s">
        <v>1662</v>
      </c>
      <c r="D26" s="346"/>
      <c r="E26" s="341"/>
      <c r="F26" s="346"/>
    </row>
    <row r="27" spans="2:8" x14ac:dyDescent="0.25">
      <c r="B27" s="346"/>
      <c r="C27" s="348"/>
      <c r="D27" s="346"/>
      <c r="E27" s="346"/>
      <c r="F27" s="346"/>
    </row>
    <row r="28" spans="2:8" ht="15.75" customHeight="1" x14ac:dyDescent="0.25">
      <c r="B28" s="346"/>
      <c r="C28" s="348" t="s">
        <v>1663</v>
      </c>
      <c r="D28" s="346"/>
      <c r="E28" s="342">
        <f>23892.34+31840.52+53376.49+29299</f>
        <v>138408.35</v>
      </c>
      <c r="F28" s="346"/>
    </row>
    <row r="29" spans="2:8" x14ac:dyDescent="0.25">
      <c r="B29" s="346"/>
      <c r="C29" s="346"/>
      <c r="D29" s="346"/>
      <c r="E29" s="346"/>
      <c r="F29" s="346"/>
    </row>
    <row r="30" spans="2:8" ht="16.5" customHeight="1" x14ac:dyDescent="0.25">
      <c r="B30" s="346"/>
      <c r="C30" s="348" t="s">
        <v>1664</v>
      </c>
      <c r="D30" s="346"/>
      <c r="E30" s="341">
        <f>23892.34+29299</f>
        <v>53191.34</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Dresden School District</v>
      </c>
      <c r="C5" s="363"/>
      <c r="D5" s="363"/>
      <c r="E5" s="363"/>
      <c r="F5" s="363"/>
    </row>
    <row r="8" spans="1:9" ht="18" x14ac:dyDescent="0.25">
      <c r="A8" s="317" t="s">
        <v>1576</v>
      </c>
      <c r="F8" s="324" t="s">
        <v>1594</v>
      </c>
    </row>
    <row r="9" spans="1:9" ht="15" x14ac:dyDescent="0.2">
      <c r="A9" s="315" t="s">
        <v>1577</v>
      </c>
      <c r="B9" s="318">
        <f>'DOE25'!G97</f>
        <v>464555</v>
      </c>
      <c r="F9" s="315" t="s">
        <v>1590</v>
      </c>
    </row>
    <row r="10" spans="1:9" ht="15" x14ac:dyDescent="0.2">
      <c r="A10" s="315" t="s">
        <v>1578</v>
      </c>
      <c r="B10" s="318">
        <f>'DOE25'!G112-'DOE25'!G97</f>
        <v>0</v>
      </c>
      <c r="F10" s="315" t="s">
        <v>1591</v>
      </c>
    </row>
    <row r="11" spans="1:9" ht="15" x14ac:dyDescent="0.2">
      <c r="A11" s="315" t="s">
        <v>1579</v>
      </c>
      <c r="B11" s="318">
        <f>'DOE25'!G140</f>
        <v>0</v>
      </c>
      <c r="F11" s="315" t="s">
        <v>1592</v>
      </c>
    </row>
    <row r="12" spans="1:9" ht="15" x14ac:dyDescent="0.2">
      <c r="A12" s="315" t="s">
        <v>1580</v>
      </c>
      <c r="B12" s="318">
        <f>'DOE25'!G170</f>
        <v>0</v>
      </c>
      <c r="F12" s="315" t="s">
        <v>1593</v>
      </c>
    </row>
    <row r="13" spans="1:9" ht="15" x14ac:dyDescent="0.2">
      <c r="A13" s="315" t="s">
        <v>1581</v>
      </c>
      <c r="B13" s="318">
        <f>'DOE25'!G193-'DOE25'!G180</f>
        <v>0</v>
      </c>
      <c r="F13" s="315" t="s">
        <v>1603</v>
      </c>
    </row>
    <row r="14" spans="1:9" ht="18" x14ac:dyDescent="0.25">
      <c r="A14" s="317" t="s">
        <v>732</v>
      </c>
      <c r="B14" s="319">
        <f>SUM(B9:B13)</f>
        <v>464555</v>
      </c>
    </row>
    <row r="16" spans="1:9" ht="18" x14ac:dyDescent="0.25">
      <c r="A16" s="317" t="s">
        <v>786</v>
      </c>
      <c r="F16" s="324" t="s">
        <v>1595</v>
      </c>
    </row>
    <row r="17" spans="1:6" ht="15" x14ac:dyDescent="0.2">
      <c r="A17" s="315" t="s">
        <v>1582</v>
      </c>
      <c r="B17" s="318">
        <f>'DOE25'!L363-'DOE25'!L362</f>
        <v>544445.32000000007</v>
      </c>
      <c r="F17" s="315" t="s">
        <v>1596</v>
      </c>
    </row>
    <row r="18" spans="1:6" ht="15" x14ac:dyDescent="0.2">
      <c r="A18" s="315" t="s">
        <v>1583</v>
      </c>
      <c r="B18" s="328"/>
      <c r="F18" s="324" t="s">
        <v>1620</v>
      </c>
    </row>
    <row r="19" spans="1:6" ht="18" x14ac:dyDescent="0.25">
      <c r="A19" s="317" t="s">
        <v>725</v>
      </c>
      <c r="B19" s="319">
        <f>SUM(B17:B18)</f>
        <v>544445.32000000007</v>
      </c>
    </row>
    <row r="21" spans="1:6" ht="18.75" thickBot="1" x14ac:dyDescent="0.3">
      <c r="A21" s="317" t="s">
        <v>1584</v>
      </c>
    </row>
    <row r="22" spans="1:6" ht="18.75" thickTop="1" x14ac:dyDescent="0.25">
      <c r="A22" s="317" t="s">
        <v>1585</v>
      </c>
      <c r="B22" s="323">
        <f>B14-B19</f>
        <v>-79890.320000000065</v>
      </c>
      <c r="F22" s="315" t="s">
        <v>1597</v>
      </c>
    </row>
    <row r="26" spans="1:6" ht="18" x14ac:dyDescent="0.25">
      <c r="A26" s="317" t="s">
        <v>186</v>
      </c>
    </row>
    <row r="27" spans="1:6" ht="15" x14ac:dyDescent="0.2">
      <c r="A27" s="315" t="s">
        <v>1586</v>
      </c>
      <c r="B27" s="318">
        <f>'DOE25'!G180</f>
        <v>103445.5</v>
      </c>
      <c r="F27" s="315" t="s">
        <v>1598</v>
      </c>
    </row>
    <row r="28" spans="1:6" ht="15" x14ac:dyDescent="0.2">
      <c r="A28" s="315" t="s">
        <v>1588</v>
      </c>
      <c r="B28" s="318">
        <f>'DOE25'!L362</f>
        <v>0</v>
      </c>
      <c r="F28" s="315" t="s">
        <v>1599</v>
      </c>
    </row>
    <row r="31" spans="1:6" ht="15" x14ac:dyDescent="0.2">
      <c r="A31" s="315" t="s">
        <v>1628</v>
      </c>
      <c r="B31" s="318">
        <f>'DOE25'!G466</f>
        <v>-23555.11</v>
      </c>
      <c r="F31" s="315" t="s">
        <v>1600</v>
      </c>
    </row>
    <row r="33" spans="1:6" ht="15" x14ac:dyDescent="0.2">
      <c r="A33" s="315" t="s">
        <v>1629</v>
      </c>
      <c r="B33" s="318">
        <f>'DOE25'!G477</f>
        <v>7.000000006519258E-2</v>
      </c>
      <c r="F33" s="315" t="s">
        <v>1601</v>
      </c>
    </row>
    <row r="36" spans="1:6" ht="15" x14ac:dyDescent="0.2">
      <c r="A36" s="315" t="s">
        <v>1587</v>
      </c>
      <c r="B36" s="329"/>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71" sqref="C7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Dresden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8109381.3600000003</v>
      </c>
      <c r="C9" s="229">
        <f>'DOE25'!G198+'DOE25'!G216+'DOE25'!G234+'DOE25'!G277+'DOE25'!G296+'DOE25'!G315</f>
        <v>2863523.41</v>
      </c>
    </row>
    <row r="10" spans="1:3" x14ac:dyDescent="0.2">
      <c r="A10" t="s">
        <v>775</v>
      </c>
      <c r="B10" s="240">
        <v>7499364.5300000003</v>
      </c>
      <c r="C10" s="240">
        <v>2680101.6800000002</v>
      </c>
    </row>
    <row r="11" spans="1:3" x14ac:dyDescent="0.2">
      <c r="A11" t="s">
        <v>776</v>
      </c>
      <c r="B11" s="240">
        <v>332037.76000000001</v>
      </c>
      <c r="C11" s="240">
        <v>141724.87</v>
      </c>
    </row>
    <row r="12" spans="1:3" x14ac:dyDescent="0.2">
      <c r="A12" t="s">
        <v>777</v>
      </c>
      <c r="B12" s="240">
        <v>277979.07</v>
      </c>
      <c r="C12" s="240">
        <v>41696.86</v>
      </c>
    </row>
    <row r="13" spans="1:3" x14ac:dyDescent="0.2">
      <c r="A13" t="str">
        <f>IF(B9=B13,IF(C9=C13,"Check Total OK","Check Total Error"),"Check Total Error")</f>
        <v>Check Total OK</v>
      </c>
      <c r="B13" s="231">
        <f>SUM(B10:B12)</f>
        <v>8109381.3600000003</v>
      </c>
      <c r="C13" s="231">
        <f>SUM(C10:C12)</f>
        <v>2863523.41</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2137431.16</v>
      </c>
      <c r="C18" s="229">
        <f>'DOE25'!G199+'DOE25'!G217+'DOE25'!G235+'DOE25'!G278+'DOE25'!G297+'DOE25'!G316</f>
        <v>1071065.8400000001</v>
      </c>
    </row>
    <row r="19" spans="1:3" x14ac:dyDescent="0.2">
      <c r="A19" t="s">
        <v>775</v>
      </c>
      <c r="B19" s="240">
        <v>1279738.55</v>
      </c>
      <c r="C19" s="240">
        <v>634748.57999999996</v>
      </c>
    </row>
    <row r="20" spans="1:3" x14ac:dyDescent="0.2">
      <c r="A20" t="s">
        <v>776</v>
      </c>
      <c r="B20" s="240">
        <v>652671.42000000004</v>
      </c>
      <c r="C20" s="240">
        <v>413764.93</v>
      </c>
    </row>
    <row r="21" spans="1:3" x14ac:dyDescent="0.2">
      <c r="A21" t="s">
        <v>777</v>
      </c>
      <c r="B21" s="240">
        <v>205021.19</v>
      </c>
      <c r="C21" s="240">
        <v>22552.33</v>
      </c>
    </row>
    <row r="22" spans="1:3" x14ac:dyDescent="0.2">
      <c r="A22" t="str">
        <f>IF(B18=B22,IF(C18=C22,"Check Total OK","Check Total Error"),"Check Total Error")</f>
        <v>Check Total OK</v>
      </c>
      <c r="B22" s="231">
        <f>SUM(B19:B21)</f>
        <v>2137431.16</v>
      </c>
      <c r="C22" s="231">
        <f>SUM(C19:C21)</f>
        <v>1071065.8400000001</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501995.29000000004</v>
      </c>
      <c r="C36" s="235">
        <f>'DOE25'!G201+'DOE25'!G219+'DOE25'!G237+'DOE25'!G280+'DOE25'!G299+'DOE25'!G318</f>
        <v>131038.09000000001</v>
      </c>
    </row>
    <row r="37" spans="1:3" x14ac:dyDescent="0.2">
      <c r="A37" t="s">
        <v>775</v>
      </c>
      <c r="B37" s="240"/>
      <c r="C37" s="240"/>
    </row>
    <row r="38" spans="1:3" x14ac:dyDescent="0.2">
      <c r="A38" t="s">
        <v>776</v>
      </c>
      <c r="B38" s="240"/>
      <c r="C38" s="240"/>
    </row>
    <row r="39" spans="1:3" x14ac:dyDescent="0.2">
      <c r="A39" t="s">
        <v>777</v>
      </c>
      <c r="B39" s="240">
        <v>501995.29</v>
      </c>
      <c r="C39" s="240">
        <v>131038.09</v>
      </c>
    </row>
    <row r="40" spans="1:3" x14ac:dyDescent="0.2">
      <c r="A40" t="str">
        <f>IF(B36=B40,IF(C36=C40,"Check Total OK","Check Total Error"),"Check Total Error")</f>
        <v>Check Total OK</v>
      </c>
      <c r="B40" s="231">
        <f>SUM(B37:B39)</f>
        <v>501995.29</v>
      </c>
      <c r="C40" s="231">
        <f>SUM(C37:C39)</f>
        <v>131038.09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scale="115"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L20" sqref="L2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Dresden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15606034.719999999</v>
      </c>
      <c r="D5" s="20">
        <f>SUM('DOE25'!L198:L201)+SUM('DOE25'!L216:L219)+SUM('DOE25'!L234:L237)-F5-G5-H5</f>
        <v>15232539.469999999</v>
      </c>
      <c r="E5" s="243"/>
      <c r="F5" s="244"/>
      <c r="G5" s="53">
        <f>SUM('DOE25'!J198:J201)+SUM('DOE25'!J216:J219)+SUM('DOE25'!J234:J237)</f>
        <v>355453.4</v>
      </c>
      <c r="H5" s="53">
        <f>SUM('DOE25'!K198:K201)+SUM('DOE25'!K216:K219)+SUM('DOE25'!K234:K237)</f>
        <v>18041.849999999999</v>
      </c>
      <c r="I5" s="254"/>
    </row>
    <row r="6" spans="1:9" x14ac:dyDescent="0.2">
      <c r="A6" s="32">
        <v>2100</v>
      </c>
      <c r="B6" t="s">
        <v>796</v>
      </c>
      <c r="C6" s="273">
        <f t="shared" si="0"/>
        <v>1494141.75</v>
      </c>
      <c r="D6" s="20">
        <f>'DOE25'!L203+'DOE25'!L221+'DOE25'!L239-F6-G6-H6</f>
        <v>1492856.81</v>
      </c>
      <c r="E6" s="243"/>
      <c r="F6" s="244"/>
      <c r="G6" s="53">
        <f>'DOE25'!J203+'DOE25'!J221+'DOE25'!J239</f>
        <v>149.94</v>
      </c>
      <c r="H6" s="53">
        <f>'DOE25'!K203+'DOE25'!K221+'DOE25'!K239</f>
        <v>1135</v>
      </c>
      <c r="I6" s="254"/>
    </row>
    <row r="7" spans="1:9" x14ac:dyDescent="0.2">
      <c r="A7" s="32">
        <v>2200</v>
      </c>
      <c r="B7" t="s">
        <v>821</v>
      </c>
      <c r="C7" s="273">
        <f t="shared" si="0"/>
        <v>658270.51</v>
      </c>
      <c r="D7" s="20">
        <f>'DOE25'!L204+'DOE25'!L222+'DOE25'!L240-F7-G7-H7</f>
        <v>577421.37</v>
      </c>
      <c r="E7" s="243"/>
      <c r="F7" s="244"/>
      <c r="G7" s="53">
        <f>'DOE25'!J204+'DOE25'!J222+'DOE25'!J240</f>
        <v>80121.14</v>
      </c>
      <c r="H7" s="53">
        <f>'DOE25'!K204+'DOE25'!K222+'DOE25'!K240</f>
        <v>728</v>
      </c>
      <c r="I7" s="254"/>
    </row>
    <row r="8" spans="1:9" x14ac:dyDescent="0.2">
      <c r="A8" s="32">
        <v>2300</v>
      </c>
      <c r="B8" t="s">
        <v>797</v>
      </c>
      <c r="C8" s="273">
        <f t="shared" si="0"/>
        <v>1194369.45</v>
      </c>
      <c r="D8" s="243"/>
      <c r="E8" s="20">
        <f>'DOE25'!L205+'DOE25'!L223+'DOE25'!L241-F8-G8-H8-D9-D11</f>
        <v>1179528.22</v>
      </c>
      <c r="F8" s="244"/>
      <c r="G8" s="53">
        <f>'DOE25'!J205+'DOE25'!J223+'DOE25'!J241</f>
        <v>0</v>
      </c>
      <c r="H8" s="53">
        <f>'DOE25'!K205+'DOE25'!K223+'DOE25'!K241</f>
        <v>14841.23</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2082256.75</v>
      </c>
      <c r="D12" s="20">
        <f>'DOE25'!L206+'DOE25'!L224+'DOE25'!L242-F12-G12-H12</f>
        <v>2077385.25</v>
      </c>
      <c r="E12" s="243"/>
      <c r="F12" s="244"/>
      <c r="G12" s="53">
        <f>'DOE25'!J206+'DOE25'!J224+'DOE25'!J242</f>
        <v>0</v>
      </c>
      <c r="H12" s="53">
        <f>'DOE25'!K206+'DOE25'!K224+'DOE25'!K242</f>
        <v>4871.5</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2065384.46</v>
      </c>
      <c r="D14" s="20">
        <f>'DOE25'!L208+'DOE25'!L226+'DOE25'!L244-F14-G14-H14</f>
        <v>2052792.68</v>
      </c>
      <c r="E14" s="243"/>
      <c r="F14" s="244"/>
      <c r="G14" s="53">
        <f>'DOE25'!J208+'DOE25'!J226+'DOE25'!J244</f>
        <v>12591.779999999999</v>
      </c>
      <c r="H14" s="53">
        <f>'DOE25'!K208+'DOE25'!K226+'DOE25'!K244</f>
        <v>0</v>
      </c>
      <c r="I14" s="254"/>
    </row>
    <row r="15" spans="1:9" x14ac:dyDescent="0.2">
      <c r="A15" s="32">
        <v>2700</v>
      </c>
      <c r="B15" t="s">
        <v>799</v>
      </c>
      <c r="C15" s="273">
        <f t="shared" si="0"/>
        <v>135724.09999999998</v>
      </c>
      <c r="D15" s="20">
        <f>'DOE25'!L209+'DOE25'!L227+'DOE25'!L245-F15-G15-H15</f>
        <v>135724.09999999998</v>
      </c>
      <c r="E15" s="243"/>
      <c r="F15" s="244"/>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265901.21999999997</v>
      </c>
      <c r="D22" s="243"/>
      <c r="E22" s="243"/>
      <c r="F22" s="243"/>
      <c r="G22" s="53">
        <f>'DOE25'!L256+'DOE25'!L337</f>
        <v>265901.21999999997</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3621105.18</v>
      </c>
      <c r="D25" s="243"/>
      <c r="E25" s="243"/>
      <c r="F25" s="253"/>
      <c r="G25" s="251"/>
      <c r="H25" s="251"/>
      <c r="I25" s="252">
        <f>'DOE25'!L261+'DOE25'!L262+'DOE25'!L342+'DOE25'!L343</f>
        <v>3621105.18</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446959.46000000008</v>
      </c>
      <c r="D29" s="281">
        <f>'DOE25'!L359+'DOE25'!L360+'DOE25'!L361-'DOE25'!I368-F29-G29-H29</f>
        <v>444391.76000000007</v>
      </c>
      <c r="E29" s="243"/>
      <c r="F29" s="244"/>
      <c r="G29" s="53">
        <f>'DOE25'!J359+'DOE25'!J360+'DOE25'!J361</f>
        <v>2567.6999999999998</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753731.08000000007</v>
      </c>
      <c r="D31" s="20">
        <f>'DOE25'!L291+'DOE25'!L310+'DOE25'!L329+'DOE25'!L334+'DOE25'!L335+'DOE25'!L336-F31-G31-H31</f>
        <v>527166.84000000008</v>
      </c>
      <c r="E31" s="243"/>
      <c r="F31" s="244"/>
      <c r="G31" s="53">
        <f>'DOE25'!J291+'DOE25'!J310+'DOE25'!J329+'DOE25'!J334+'DOE25'!J335+'DOE25'!J336</f>
        <v>226564.24</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22540278.280000001</v>
      </c>
      <c r="E33" s="245">
        <f t="shared" si="1"/>
        <v>1179528.22</v>
      </c>
      <c r="F33" s="245">
        <f t="shared" si="1"/>
        <v>0</v>
      </c>
      <c r="G33" s="245">
        <f t="shared" si="1"/>
        <v>943349.41999999993</v>
      </c>
      <c r="H33" s="245">
        <f t="shared" si="1"/>
        <v>39617.58</v>
      </c>
      <c r="I33" s="245">
        <f t="shared" si="1"/>
        <v>3621105.18</v>
      </c>
    </row>
    <row r="35" spans="1:9" ht="12" thickBot="1" x14ac:dyDescent="0.25">
      <c r="B35" s="249" t="s">
        <v>831</v>
      </c>
      <c r="D35" s="250">
        <f>E33</f>
        <v>1179528.22</v>
      </c>
      <c r="E35" s="246"/>
      <c r="F35" s="333" t="s">
        <v>1632</v>
      </c>
      <c r="G35" s="334"/>
      <c r="H35" s="334"/>
      <c r="I35" s="334"/>
    </row>
    <row r="36" spans="1:9" ht="12" thickTop="1" x14ac:dyDescent="0.2">
      <c r="B36" t="s">
        <v>810</v>
      </c>
      <c r="D36" s="20">
        <f>D33</f>
        <v>22540278.280000001</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B43" sqref="B4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Dresden School District</v>
      </c>
      <c r="B2" s="126">
        <f>'DOE25'!B2</f>
        <v>142</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8601179.8800000008</v>
      </c>
      <c r="G4" s="300">
        <f>'DOE25'!L212+'DOE25'!L291</f>
        <v>8601179.879999999</v>
      </c>
      <c r="H4" s="353">
        <f>F4-G4</f>
        <v>0</v>
      </c>
      <c r="I4" s="371" t="str">
        <f>IF(H4=0,"","ISSUES!! Please review page 7 and 11 totals in comparison with total on this page")</f>
        <v/>
      </c>
      <c r="N4"/>
    </row>
    <row r="5" spans="1:18" x14ac:dyDescent="0.2">
      <c r="A5" s="21" t="s">
        <v>1017</v>
      </c>
      <c r="B5" s="301">
        <f>IFERROR(VLOOKUP(A5,'School Tables'!$C$3:$D$365,2,FALSE),"")</f>
        <v>20825</v>
      </c>
      <c r="C5" s="294" t="str">
        <f>IFERROR(INDEX('School Tables'!$B$3:$B$365,MATCH('School Level Expenditures'!B5,'School Tables'!$D$3:$D$365,0)),"")</f>
        <v>Dresden</v>
      </c>
      <c r="D5" s="291">
        <v>8158804.9000000004</v>
      </c>
      <c r="E5" s="291">
        <v>442374.98</v>
      </c>
      <c r="F5" s="304">
        <f>D5+E5</f>
        <v>8601179.8800000008</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8158804.9000000004</v>
      </c>
      <c r="E21" s="351">
        <f>SUM(E5:E20)</f>
        <v>442374.98</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15388732.939999999</v>
      </c>
      <c r="G36" s="300">
        <f>'DOE25'!L248+'DOE25'!L329</f>
        <v>15388732.939999996</v>
      </c>
      <c r="H36" s="353">
        <f>F36-G36</f>
        <v>0</v>
      </c>
      <c r="I36" s="371" t="str">
        <f>IF(H36=0,"","ISSUES!! Please review page 9 and 13 totals in comparison with total on this page")</f>
        <v/>
      </c>
      <c r="N36"/>
    </row>
    <row r="37" spans="1:14" x14ac:dyDescent="0.2">
      <c r="A37" s="21" t="s">
        <v>1016</v>
      </c>
      <c r="B37" s="301">
        <f>IFERROR(VLOOKUP(A37,'School Tables'!$O$3:$P$118,2,FALSE),"")</f>
        <v>20820</v>
      </c>
      <c r="C37" s="294" t="str">
        <f t="array" ref="C37">IFERROR(INDEX('School Tables'!$N$3:$N$118,MATCH('School Level Expenditures'!B37,'School Tables'!$P$3:$P$118,0)),"")</f>
        <v>Dresden</v>
      </c>
      <c r="D37" s="291">
        <v>15077376.84</v>
      </c>
      <c r="E37" s="291">
        <v>311356.09999999998</v>
      </c>
      <c r="F37" s="304">
        <f t="shared" ref="F37:F42" si="2">D37+E37</f>
        <v>15388732.939999999</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15077376.84</v>
      </c>
      <c r="E43" s="352">
        <f>SUM(E37:E42)</f>
        <v>311356.09999999998</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Dresden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717971.14</v>
      </c>
      <c r="D8" s="95">
        <f>'DOE25'!G9</f>
        <v>0</v>
      </c>
      <c r="E8" s="95">
        <f>'DOE25'!H9</f>
        <v>0</v>
      </c>
      <c r="F8" s="95">
        <f>'DOE25'!I9</f>
        <v>0</v>
      </c>
      <c r="G8" s="95">
        <f>'DOE25'!J9</f>
        <v>43113</v>
      </c>
      <c r="H8" s="124"/>
      <c r="I8" s="124"/>
    </row>
    <row r="9" spans="1:9" x14ac:dyDescent="0.2">
      <c r="A9" s="1" t="s">
        <v>140</v>
      </c>
      <c r="B9" s="6">
        <v>110</v>
      </c>
      <c r="C9" s="95">
        <f>'DOE25'!F10</f>
        <v>475440.34</v>
      </c>
      <c r="D9" s="95">
        <f>'DOE25'!G10</f>
        <v>0</v>
      </c>
      <c r="E9" s="95">
        <f>'DOE25'!H10</f>
        <v>63309.73</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10553</v>
      </c>
      <c r="D12" s="95">
        <f>'DOE25'!G13</f>
        <v>0</v>
      </c>
      <c r="E12" s="95">
        <f>'DOE25'!H13</f>
        <v>0</v>
      </c>
      <c r="F12" s="95">
        <f>'DOE25'!I13</f>
        <v>0</v>
      </c>
      <c r="G12" s="95">
        <f>'DOE25'!J13</f>
        <v>0</v>
      </c>
      <c r="H12" s="124"/>
      <c r="I12" s="124"/>
    </row>
    <row r="13" spans="1:9" x14ac:dyDescent="0.2">
      <c r="A13" s="1" t="s">
        <v>144</v>
      </c>
      <c r="B13" s="6">
        <v>150</v>
      </c>
      <c r="C13" s="95">
        <f>'DOE25'!F14</f>
        <v>115349.65</v>
      </c>
      <c r="D13" s="95">
        <f>'DOE25'!G14</f>
        <v>0</v>
      </c>
      <c r="E13" s="95">
        <f>'DOE25'!H14</f>
        <v>17595</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3805.32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1323119.45</v>
      </c>
      <c r="D18" s="41">
        <f>SUM(D8:D17)</f>
        <v>0</v>
      </c>
      <c r="E18" s="41">
        <f>SUM(E8:E17)</f>
        <v>80904.73000000001</v>
      </c>
      <c r="F18" s="41">
        <f>SUM(F8:F17)</f>
        <v>0</v>
      </c>
      <c r="G18" s="41">
        <f>SUM(G8:G17)</f>
        <v>43113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-82671.3</v>
      </c>
      <c r="D21" s="95">
        <f>'DOE25'!G22</f>
        <v>-52385.1</v>
      </c>
      <c r="E21" s="95">
        <f>'DOE25'!H22</f>
        <v>-225659.08</v>
      </c>
      <c r="F21" s="95">
        <f>'DOE25'!I22</f>
        <v>-32790.53</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329518.59999999998</v>
      </c>
      <c r="D23" s="95">
        <f>'DOE25'!G24</f>
        <v>22089.95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56795.5</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-328.11</v>
      </c>
      <c r="D29" s="95">
        <f>'DOE25'!G30</f>
        <v>30295.08</v>
      </c>
      <c r="E29" s="95">
        <f>'DOE25'!H30</f>
        <v>0</v>
      </c>
      <c r="F29" s="95">
        <f>'DOE25'!I30</f>
        <v>0</v>
      </c>
      <c r="G29" s="24" t="s">
        <v>288</v>
      </c>
      <c r="H29" s="124"/>
      <c r="I29" s="124"/>
    </row>
    <row r="30" spans="1:9" ht="12" thickBot="1" x14ac:dyDescent="0.25">
      <c r="A30" s="1" t="s">
        <v>159</v>
      </c>
      <c r="B30" s="71">
        <v>490</v>
      </c>
      <c r="C30" s="95">
        <f>'DOE25'!F31</f>
        <v>54200</v>
      </c>
      <c r="D30" s="95">
        <f>'DOE25'!G31</f>
        <v>0</v>
      </c>
      <c r="E30" s="95">
        <f>'DOE25'!H31</f>
        <v>0</v>
      </c>
      <c r="F30" s="95">
        <f>'DOE25'!I31</f>
        <v>0</v>
      </c>
      <c r="G30" s="95">
        <f>'DOE25'!J31</f>
        <v>0</v>
      </c>
      <c r="H30" s="124"/>
      <c r="I30" s="124"/>
    </row>
    <row r="31" spans="1:9" ht="12" thickTop="1" x14ac:dyDescent="0.2">
      <c r="A31" s="38" t="s">
        <v>160</v>
      </c>
      <c r="B31" s="2"/>
      <c r="C31" s="41">
        <f>SUM(C21:C30)</f>
        <v>357514.69</v>
      </c>
      <c r="D31" s="41">
        <f>SUM(D21:D30)</f>
        <v>-6.9999999996070983E-2</v>
      </c>
      <c r="E31" s="41">
        <f>SUM(E21:E30)</f>
        <v>-225659.08</v>
      </c>
      <c r="F31" s="41">
        <f>SUM(F21:F30)</f>
        <v>-32790.53</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3971.06</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7.0000000000000007E-2</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261633.7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306563.81</v>
      </c>
      <c r="F47" s="95">
        <f>'DOE25'!I48</f>
        <v>0</v>
      </c>
      <c r="G47" s="95">
        <f>'DOE25'!J48</f>
        <v>43113</v>
      </c>
      <c r="H47" s="124"/>
      <c r="I47" s="124"/>
    </row>
    <row r="48" spans="1:9" x14ac:dyDescent="0.2">
      <c r="A48" s="1" t="s">
        <v>882</v>
      </c>
      <c r="B48" s="6">
        <v>753</v>
      </c>
      <c r="C48" s="95">
        <f>'DOE25'!F49</f>
        <v>0</v>
      </c>
      <c r="D48" s="95">
        <f>'DOE25'!G49</f>
        <v>0</v>
      </c>
      <c r="E48" s="95">
        <f>'DOE25'!H49</f>
        <v>0</v>
      </c>
      <c r="F48" s="95">
        <f>'DOE25'!I49</f>
        <v>32790.53</v>
      </c>
      <c r="G48" s="95">
        <f>'DOE25'!J49</f>
        <v>0</v>
      </c>
      <c r="H48" s="124"/>
      <c r="I48" s="124"/>
    </row>
    <row r="49" spans="1:9" ht="12" thickBot="1" x14ac:dyDescent="0.25">
      <c r="A49" s="29" t="s">
        <v>883</v>
      </c>
      <c r="B49" s="71">
        <v>770</v>
      </c>
      <c r="C49" s="95">
        <f>'DOE25'!F50</f>
        <v>700000</v>
      </c>
      <c r="D49" s="24" t="s">
        <v>288</v>
      </c>
      <c r="E49" s="24" t="s">
        <v>288</v>
      </c>
      <c r="F49" s="24" t="s">
        <v>288</v>
      </c>
      <c r="G49" s="24" t="s">
        <v>288</v>
      </c>
      <c r="H49" s="124"/>
      <c r="I49" s="124"/>
    </row>
    <row r="50" spans="1:9" ht="12.75" thickTop="1" thickBot="1" x14ac:dyDescent="0.25">
      <c r="A50" s="38" t="s">
        <v>884</v>
      </c>
      <c r="B50" s="48"/>
      <c r="C50" s="41">
        <f>SUM(C34:C49)</f>
        <v>965604.76</v>
      </c>
      <c r="D50" s="41">
        <f>SUM(D34:D49)</f>
        <v>7.0000000000000007E-2</v>
      </c>
      <c r="E50" s="41">
        <f>SUM(E34:E49)</f>
        <v>306563.81</v>
      </c>
      <c r="F50" s="41">
        <f>SUM(F34:F49)</f>
        <v>32790.53</v>
      </c>
      <c r="G50" s="41">
        <f>SUM(G34:G49)</f>
        <v>43113</v>
      </c>
      <c r="H50" s="124"/>
      <c r="I50" s="124"/>
    </row>
    <row r="51" spans="1:9" ht="12" thickTop="1" x14ac:dyDescent="0.2">
      <c r="A51" s="38" t="s">
        <v>885</v>
      </c>
      <c r="B51" s="2"/>
      <c r="C51" s="41">
        <f>C50+C31</f>
        <v>1323119.45</v>
      </c>
      <c r="D51" s="41">
        <f>D50+D31</f>
        <v>3.9290237729971977E-12</v>
      </c>
      <c r="E51" s="41">
        <f>E50+E31</f>
        <v>80904.73000000001</v>
      </c>
      <c r="F51" s="41">
        <f>F50+F31</f>
        <v>0</v>
      </c>
      <c r="G51" s="41">
        <f>G50+G31</f>
        <v>43113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18863208</v>
      </c>
      <c r="D56" s="95">
        <f>'DOE25'!G60</f>
        <v>0</v>
      </c>
      <c r="E56" s="95">
        <f>'DOE25'!H60</f>
        <v>0</v>
      </c>
      <c r="F56" s="95">
        <f>'DOE25'!I60</f>
        <v>0</v>
      </c>
      <c r="G56" s="95">
        <f>'DOE25'!J60</f>
        <v>0</v>
      </c>
      <c r="H56"/>
      <c r="I56"/>
    </row>
    <row r="57" spans="1:9" x14ac:dyDescent="0.2">
      <c r="A57" s="1" t="s">
        <v>164</v>
      </c>
      <c r="B57" s="6" t="s">
        <v>165</v>
      </c>
      <c r="C57" s="95">
        <f>'DOE25'!F79</f>
        <v>5312417.68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1213.21</v>
      </c>
      <c r="D59" s="95">
        <f>'DOE25'!G96</f>
        <v>0</v>
      </c>
      <c r="E59" s="95">
        <f>'DOE25'!H96</f>
        <v>0</v>
      </c>
      <c r="F59" s="95">
        <f>'DOE25'!I96</f>
        <v>0</v>
      </c>
      <c r="G59" s="95">
        <f>'DOE25'!J96</f>
        <v>9031</v>
      </c>
      <c r="H59"/>
      <c r="I59"/>
    </row>
    <row r="60" spans="1:9" x14ac:dyDescent="0.2">
      <c r="A60" s="1" t="s">
        <v>170</v>
      </c>
      <c r="B60" s="118" t="s">
        <v>171</v>
      </c>
      <c r="C60" s="24" t="s">
        <v>288</v>
      </c>
      <c r="D60" s="95">
        <f>'DOE25'!G97</f>
        <v>464555</v>
      </c>
      <c r="E60" s="24" t="s">
        <v>288</v>
      </c>
      <c r="F60" s="24" t="s">
        <v>288</v>
      </c>
      <c r="G60" s="24" t="s">
        <v>288</v>
      </c>
      <c r="H60"/>
      <c r="I60"/>
    </row>
    <row r="61" spans="1:9" ht="12" thickBot="1" x14ac:dyDescent="0.25">
      <c r="A61" s="1" t="s">
        <v>172</v>
      </c>
      <c r="B61" s="118" t="s">
        <v>173</v>
      </c>
      <c r="C61" s="95">
        <f>SUM('DOE25'!F98:F110)</f>
        <v>351957.42</v>
      </c>
      <c r="D61" s="95">
        <f>SUM('DOE25'!G98:G110)</f>
        <v>0</v>
      </c>
      <c r="E61" s="95">
        <f>SUM('DOE25'!H98:H110)</f>
        <v>291582.59999999998</v>
      </c>
      <c r="F61" s="95">
        <f>SUM('DOE25'!I98:I110)</f>
        <v>0</v>
      </c>
      <c r="G61" s="95">
        <f>SUM('DOE25'!J98:J110)</f>
        <v>0</v>
      </c>
      <c r="H61"/>
      <c r="I61"/>
    </row>
    <row r="62" spans="1:9" ht="12.75" thickTop="1" thickBot="1" x14ac:dyDescent="0.25">
      <c r="A62" s="29" t="s">
        <v>174</v>
      </c>
      <c r="B62" s="6"/>
      <c r="C62" s="130">
        <f>SUM(C57:C61)</f>
        <v>5665588.3099999996</v>
      </c>
      <c r="D62" s="130">
        <f>SUM(D57:D61)</f>
        <v>464555</v>
      </c>
      <c r="E62" s="130">
        <f>SUM(E57:E61)</f>
        <v>291582.59999999998</v>
      </c>
      <c r="F62" s="130">
        <f>SUM(F57:F61)</f>
        <v>0</v>
      </c>
      <c r="G62" s="130">
        <f>SUM(G57:G61)</f>
        <v>9031</v>
      </c>
      <c r="H62"/>
      <c r="I62"/>
    </row>
    <row r="63" spans="1:9" ht="12" thickTop="1" x14ac:dyDescent="0.2">
      <c r="A63" s="29" t="s">
        <v>175</v>
      </c>
      <c r="B63" s="6"/>
      <c r="C63" s="22">
        <f>C56+C62</f>
        <v>24528796.309999999</v>
      </c>
      <c r="D63" s="22">
        <f>D56+D62</f>
        <v>464555</v>
      </c>
      <c r="E63" s="22">
        <f>E56+E62</f>
        <v>291582.59999999998</v>
      </c>
      <c r="F63" s="22">
        <f>F56+F62</f>
        <v>0</v>
      </c>
      <c r="G63" s="22">
        <f>G56+G62</f>
        <v>9031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2353584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2353584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366756.84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28022.66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394779.5</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2748363.5</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0</v>
      </c>
      <c r="D88" s="331">
        <f>SUM('DOE25'!G153:G162)</f>
        <v>0</v>
      </c>
      <c r="E88" s="331">
        <f>SUM('DOE25'!H153:H162)</f>
        <v>559410.85</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559410.85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103445.5</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103445.5</v>
      </c>
      <c r="E103" s="86">
        <f>SUM(E93:E102)</f>
        <v>0</v>
      </c>
      <c r="F103" s="86">
        <f>SUM(F93:F102)</f>
        <v>0</v>
      </c>
      <c r="G103" s="86">
        <f>SUM(G93:G102)</f>
        <v>0</v>
      </c>
    </row>
    <row r="104" spans="1:7" ht="12.75" thickTop="1" thickBot="1" x14ac:dyDescent="0.25">
      <c r="A104" s="33" t="s">
        <v>761</v>
      </c>
      <c r="C104" s="86">
        <f>C63+C81+C91+C103</f>
        <v>27277159.809999999</v>
      </c>
      <c r="D104" s="86">
        <f>D63+D81+D91+D103</f>
        <v>568000.5</v>
      </c>
      <c r="E104" s="86">
        <f>E63+E81+E91+E103</f>
        <v>850993.45</v>
      </c>
      <c r="F104" s="86">
        <f>F63+F81+F91+F103</f>
        <v>0</v>
      </c>
      <c r="G104" s="86">
        <f>G63+G81+G103</f>
        <v>9031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11606848.059999999</v>
      </c>
      <c r="D109" s="24" t="s">
        <v>288</v>
      </c>
      <c r="E109" s="95">
        <f>('DOE25'!L277)+('DOE25'!L296)+('DOE25'!L315)</f>
        <v>552150.19000000006</v>
      </c>
      <c r="F109" s="24" t="s">
        <v>288</v>
      </c>
      <c r="G109" s="24" t="s">
        <v>288</v>
      </c>
    </row>
    <row r="110" spans="1:7" x14ac:dyDescent="0.2">
      <c r="A110" t="s">
        <v>198</v>
      </c>
      <c r="B110" s="32" t="s">
        <v>199</v>
      </c>
      <c r="C110" s="95">
        <f>('DOE25'!L199)+('DOE25'!L217)+('DOE25'!L235)</f>
        <v>3071076.09</v>
      </c>
      <c r="D110" s="24" t="s">
        <v>288</v>
      </c>
      <c r="E110" s="95">
        <f>('DOE25'!L278)+('DOE25'!L297)+('DOE25'!L316)</f>
        <v>201580.89</v>
      </c>
      <c r="F110" s="24" t="s">
        <v>288</v>
      </c>
      <c r="G110" s="24" t="s">
        <v>288</v>
      </c>
    </row>
    <row r="111" spans="1:7" x14ac:dyDescent="0.2">
      <c r="A111" t="s">
        <v>200</v>
      </c>
      <c r="B111" s="32" t="s">
        <v>165</v>
      </c>
      <c r="C111" s="95">
        <f>('DOE25'!L200)+('DOE25'!L218)+('DOE25'!L236)</f>
        <v>102344.76</v>
      </c>
      <c r="D111" s="24" t="s">
        <v>288</v>
      </c>
      <c r="E111" s="95">
        <f>('DOE25'!L279)+('DOE25'!L298)+('DOE25'!L317)</f>
        <v>0</v>
      </c>
      <c r="F111" s="24" t="s">
        <v>288</v>
      </c>
      <c r="G111" s="24" t="s">
        <v>288</v>
      </c>
    </row>
    <row r="112" spans="1:7" x14ac:dyDescent="0.2">
      <c r="A112" t="s">
        <v>201</v>
      </c>
      <c r="B112" s="32" t="s">
        <v>167</v>
      </c>
      <c r="C112" s="95">
        <f>('DOE25'!L201)+('DOE25'!L219)+('DOE25'!L237)</f>
        <v>825765.81</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15606034.719999999</v>
      </c>
      <c r="D115" s="86">
        <f>SUM(D109:D114)</f>
        <v>0</v>
      </c>
      <c r="E115" s="86">
        <f>SUM(E109:E114)</f>
        <v>753731.08000000007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1494141.75</v>
      </c>
      <c r="D118" s="24" t="s">
        <v>288</v>
      </c>
      <c r="E118" s="95">
        <f>+('DOE25'!L282)+('DOE25'!L301)+('DOE25'!L320)</f>
        <v>0</v>
      </c>
      <c r="F118" s="24" t="s">
        <v>288</v>
      </c>
      <c r="G118" s="24" t="s">
        <v>288</v>
      </c>
    </row>
    <row r="119" spans="1:7" x14ac:dyDescent="0.2">
      <c r="A119" t="s">
        <v>208</v>
      </c>
      <c r="B119" s="32" t="s">
        <v>209</v>
      </c>
      <c r="C119" s="95">
        <f>('DOE25'!L204)+('DOE25'!L222)+('DOE25'!L240)</f>
        <v>658270.51</v>
      </c>
      <c r="D119" s="24" t="s">
        <v>288</v>
      </c>
      <c r="E119" s="95">
        <f>+('DOE25'!L283)+('DOE25'!L302)+('DOE25'!L321)</f>
        <v>0</v>
      </c>
      <c r="F119" s="24" t="s">
        <v>288</v>
      </c>
      <c r="G119" s="24" t="s">
        <v>288</v>
      </c>
    </row>
    <row r="120" spans="1:7" x14ac:dyDescent="0.2">
      <c r="A120" t="s">
        <v>210</v>
      </c>
      <c r="B120" s="32" t="s">
        <v>211</v>
      </c>
      <c r="C120" s="95">
        <f>('DOE25'!L205)+('DOE25'!L223)+('DOE25'!L241)</f>
        <v>1194369.45</v>
      </c>
      <c r="D120" s="24" t="s">
        <v>288</v>
      </c>
      <c r="E120" s="95">
        <f>+('DOE25'!L284)+('DOE25'!L303)+('DOE25'!L322)</f>
        <v>0</v>
      </c>
      <c r="F120" s="24" t="s">
        <v>288</v>
      </c>
      <c r="G120" s="24" t="s">
        <v>288</v>
      </c>
    </row>
    <row r="121" spans="1:7" x14ac:dyDescent="0.2">
      <c r="A121" t="s">
        <v>212</v>
      </c>
      <c r="B121" s="32" t="s">
        <v>213</v>
      </c>
      <c r="C121" s="95">
        <f>('DOE25'!L206)+('DOE25'!L224)+('DOE25'!L242)</f>
        <v>2082256.75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2065384.46</v>
      </c>
      <c r="D123" s="24" t="s">
        <v>288</v>
      </c>
      <c r="E123" s="95">
        <f>+('DOE25'!L287)+('DOE25'!L306)+('DOE25'!L325)</f>
        <v>0</v>
      </c>
      <c r="F123" s="24" t="s">
        <v>288</v>
      </c>
      <c r="G123" s="24" t="s">
        <v>288</v>
      </c>
    </row>
    <row r="124" spans="1:7" x14ac:dyDescent="0.2">
      <c r="A124" t="s">
        <v>218</v>
      </c>
      <c r="B124" s="32" t="s">
        <v>219</v>
      </c>
      <c r="C124" s="95">
        <f>('DOE25'!L209)+('DOE25'!L227)+('DOE25'!L245+'DOE25'!L255)</f>
        <v>135724.09999999998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544445.32000000007</v>
      </c>
      <c r="E127" s="24" t="s">
        <v>288</v>
      </c>
      <c r="F127" s="24" t="s">
        <v>288</v>
      </c>
      <c r="G127" s="24" t="s">
        <v>288</v>
      </c>
    </row>
    <row r="128" spans="1:7" ht="12.75" thickTop="1" thickBot="1" x14ac:dyDescent="0.25">
      <c r="A128" s="33" t="s">
        <v>226</v>
      </c>
      <c r="C128" s="86">
        <f>SUM(C118:C127)</f>
        <v>7630147.0199999996</v>
      </c>
      <c r="D128" s="86">
        <f>SUM(D118:D127)</f>
        <v>544445.32000000007</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265901.21999999997</v>
      </c>
      <c r="D130" s="24" t="s">
        <v>288</v>
      </c>
      <c r="E130" s="129">
        <f>'DOE25'!L337</f>
        <v>0</v>
      </c>
      <c r="F130" s="129">
        <f>SUM('DOE25'!L375:'DOE25'!L381)</f>
        <v>0</v>
      </c>
      <c r="G130" s="24" t="s">
        <v>288</v>
      </c>
    </row>
    <row r="131" spans="1:7" x14ac:dyDescent="0.2">
      <c r="A131" t="s">
        <v>229</v>
      </c>
      <c r="B131" s="32">
        <v>5110</v>
      </c>
      <c r="C131" s="95">
        <f>'DOE25'!L261</f>
        <v>1736799.62</v>
      </c>
      <c r="D131" s="24" t="s">
        <v>288</v>
      </c>
      <c r="E131" s="129">
        <f>'DOE25'!L342</f>
        <v>0</v>
      </c>
      <c r="F131" s="24" t="s">
        <v>288</v>
      </c>
      <c r="G131" s="24" t="s">
        <v>288</v>
      </c>
    </row>
    <row r="132" spans="1:7" x14ac:dyDescent="0.2">
      <c r="A132" t="s">
        <v>230</v>
      </c>
      <c r="B132" s="32">
        <v>5120</v>
      </c>
      <c r="C132" s="95">
        <f>'DOE25'!L262</f>
        <v>1884305.56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56125.57</v>
      </c>
    </row>
    <row r="135" spans="1:7" x14ac:dyDescent="0.2">
      <c r="A135" t="s">
        <v>233</v>
      </c>
      <c r="B135" s="32" t="s">
        <v>234</v>
      </c>
      <c r="C135" s="95">
        <f>'DOE25'!L264</f>
        <v>103445.5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9031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-9031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3990451.9000000004</v>
      </c>
      <c r="D144" s="141">
        <f>SUM(D130:D143)</f>
        <v>0</v>
      </c>
      <c r="E144" s="141">
        <f>SUM(E130:E143)</f>
        <v>0</v>
      </c>
      <c r="F144" s="141">
        <f>SUM(F130:F143)</f>
        <v>0</v>
      </c>
      <c r="G144" s="141">
        <f>SUM(G130:G143)</f>
        <v>56125.57</v>
      </c>
    </row>
    <row r="145" spans="1:9" ht="12.75" thickTop="1" thickBot="1" x14ac:dyDescent="0.25">
      <c r="A145" s="33" t="s">
        <v>244</v>
      </c>
      <c r="C145" s="86">
        <f>(C115+C128+C144)</f>
        <v>27226633.640000001</v>
      </c>
      <c r="D145" s="86">
        <f>(D115+D128+D144)</f>
        <v>544445.32000000007</v>
      </c>
      <c r="E145" s="86">
        <f>(E115+E128+E144)</f>
        <v>753731.08000000007</v>
      </c>
      <c r="F145" s="86">
        <f>(F115+F128+F144)</f>
        <v>0</v>
      </c>
      <c r="G145" s="86">
        <f>(G115+G128+G144)</f>
        <v>56125.57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20</v>
      </c>
      <c r="E151" s="153">
        <f>'DOE25'!I491</f>
        <v>20</v>
      </c>
      <c r="F151" s="153">
        <f>'DOE25'!J491</f>
        <v>15</v>
      </c>
      <c r="G151" s="24" t="s">
        <v>288</v>
      </c>
    </row>
    <row r="152" spans="1:9" x14ac:dyDescent="0.2">
      <c r="A152" s="136" t="s">
        <v>28</v>
      </c>
      <c r="B152" s="152" t="str">
        <f>'DOE25'!F492</f>
        <v>01/15/07</v>
      </c>
      <c r="C152" s="152" t="str">
        <f>'DOE25'!G492</f>
        <v>12/22/04</v>
      </c>
      <c r="D152" s="152" t="str">
        <f>'DOE25'!H492</f>
        <v>08/15/03</v>
      </c>
      <c r="E152" s="152" t="str">
        <f>'DOE25'!I492</f>
        <v>08/15/01</v>
      </c>
      <c r="F152" s="152" t="str">
        <f>'DOE25'!J492</f>
        <v>09/19</v>
      </c>
      <c r="G152" s="24" t="s">
        <v>288</v>
      </c>
    </row>
    <row r="153" spans="1:9" x14ac:dyDescent="0.2">
      <c r="A153" s="136" t="s">
        <v>29</v>
      </c>
      <c r="B153" s="152" t="str">
        <f>'DOE25'!F493</f>
        <v>08/27</v>
      </c>
      <c r="C153" s="152" t="str">
        <f>'DOE25'!G493</f>
        <v>01/25</v>
      </c>
      <c r="D153" s="152" t="str">
        <f>'DOE25'!H493</f>
        <v>08/24</v>
      </c>
      <c r="E153" s="152" t="str">
        <f>'DOE25'!I493</f>
        <v>08/22</v>
      </c>
      <c r="F153" s="152" t="str">
        <f>'DOE25'!J493</f>
        <v>09/34</v>
      </c>
      <c r="G153" s="24" t="s">
        <v>288</v>
      </c>
    </row>
    <row r="154" spans="1:9" x14ac:dyDescent="0.2">
      <c r="A154" s="136" t="s">
        <v>30</v>
      </c>
      <c r="B154" s="137">
        <f>'DOE25'!F494</f>
        <v>2532900</v>
      </c>
      <c r="C154" s="137">
        <f>'DOE25'!G494</f>
        <v>4000000</v>
      </c>
      <c r="D154" s="137">
        <f>'DOE25'!H494</f>
        <v>38460936</v>
      </c>
      <c r="E154" s="137">
        <f>'DOE25'!I494</f>
        <v>1100000</v>
      </c>
      <c r="F154" s="137">
        <f>'DOE25'!J494</f>
        <v>900000</v>
      </c>
      <c r="G154" s="24" t="s">
        <v>288</v>
      </c>
    </row>
    <row r="155" spans="1:9" x14ac:dyDescent="0.2">
      <c r="A155" s="136" t="s">
        <v>31</v>
      </c>
      <c r="B155" s="137">
        <f>'DOE25'!F495</f>
        <v>4.08</v>
      </c>
      <c r="C155" s="137">
        <f>'DOE25'!G495</f>
        <v>4.47</v>
      </c>
      <c r="D155" s="137">
        <f>'DOE25'!H495</f>
        <v>4.62</v>
      </c>
      <c r="E155" s="137">
        <f>'DOE25'!I495</f>
        <v>4.71</v>
      </c>
      <c r="F155" s="137">
        <f>'DOE25'!J495</f>
        <v>2.8</v>
      </c>
      <c r="G155" s="24" t="s">
        <v>288</v>
      </c>
    </row>
    <row r="156" spans="1:9" x14ac:dyDescent="0.2">
      <c r="A156" s="22" t="s">
        <v>32</v>
      </c>
      <c r="B156" s="137">
        <f>'DOE25'!F496</f>
        <v>651181</v>
      </c>
      <c r="C156" s="137">
        <f>'DOE25'!G496</f>
        <v>695843</v>
      </c>
      <c r="D156" s="137">
        <f>'DOE25'!H496</f>
        <v>4951805</v>
      </c>
      <c r="E156" s="137">
        <f>'DOE25'!I496</f>
        <v>110000</v>
      </c>
      <c r="F156" s="137">
        <f>'DOE25'!J496</f>
        <v>900000</v>
      </c>
      <c r="G156" s="138">
        <f>SUM(B156:F156)</f>
        <v>7308829</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105786</v>
      </c>
      <c r="C158" s="137">
        <f>'DOE25'!G498</f>
        <v>151763</v>
      </c>
      <c r="D158" s="137">
        <f>'DOE25'!H498</f>
        <v>1326203</v>
      </c>
      <c r="E158" s="137">
        <f>'DOE25'!I498</f>
        <v>55000</v>
      </c>
      <c r="F158" s="137">
        <f>'DOE25'!J498</f>
        <v>60000</v>
      </c>
      <c r="G158" s="138">
        <f t="shared" si="0"/>
        <v>1698752</v>
      </c>
    </row>
    <row r="159" spans="1:9" x14ac:dyDescent="0.2">
      <c r="A159" s="22" t="s">
        <v>35</v>
      </c>
      <c r="B159" s="137">
        <f>'DOE25'!F499</f>
        <v>545395</v>
      </c>
      <c r="C159" s="137">
        <f>'DOE25'!G499</f>
        <v>544080</v>
      </c>
      <c r="D159" s="137">
        <f>'DOE25'!H499</f>
        <v>3625602</v>
      </c>
      <c r="E159" s="137">
        <f>'DOE25'!I499</f>
        <v>55000</v>
      </c>
      <c r="F159" s="137">
        <f>'DOE25'!J499</f>
        <v>840000</v>
      </c>
      <c r="G159" s="138">
        <f t="shared" si="0"/>
        <v>5610077</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545395</v>
      </c>
      <c r="C161" s="137">
        <f>'DOE25'!G501</f>
        <v>544080</v>
      </c>
      <c r="D161" s="137">
        <f>'DOE25'!H501</f>
        <v>3625602</v>
      </c>
      <c r="E161" s="137">
        <f>'DOE25'!I501</f>
        <v>55000</v>
      </c>
      <c r="F161" s="137">
        <f>'DOE25'!J501</f>
        <v>840000</v>
      </c>
      <c r="G161" s="138">
        <f t="shared" si="0"/>
        <v>5610077</v>
      </c>
    </row>
    <row r="162" spans="1:7" x14ac:dyDescent="0.2">
      <c r="A162" s="22" t="s">
        <v>38</v>
      </c>
      <c r="B162" s="137">
        <f>'DOE25'!F502</f>
        <v>100927</v>
      </c>
      <c r="C162" s="137">
        <f>'DOE25'!G502</f>
        <v>144833</v>
      </c>
      <c r="D162" s="137">
        <f>'DOE25'!H502</f>
        <v>1265070</v>
      </c>
      <c r="E162" s="137">
        <f>'DOE25'!I502</f>
        <v>55000</v>
      </c>
      <c r="F162" s="137">
        <f>'DOE25'!J502</f>
        <v>60000</v>
      </c>
      <c r="G162" s="138">
        <f t="shared" si="0"/>
        <v>1625830</v>
      </c>
    </row>
    <row r="163" spans="1:7" x14ac:dyDescent="0.2">
      <c r="A163" s="22" t="s">
        <v>39</v>
      </c>
      <c r="B163" s="137">
        <f>'DOE25'!F503</f>
        <v>81130</v>
      </c>
      <c r="C163" s="137">
        <f>'DOE25'!G503</f>
        <v>161523</v>
      </c>
      <c r="D163" s="137">
        <f>'DOE25'!H503</f>
        <v>1681524</v>
      </c>
      <c r="E163" s="137">
        <f>'DOE25'!I503</f>
        <v>1375</v>
      </c>
      <c r="F163" s="137">
        <f>'DOE25'!J503</f>
        <v>23520</v>
      </c>
      <c r="G163" s="138">
        <f t="shared" si="0"/>
        <v>1949072</v>
      </c>
    </row>
    <row r="164" spans="1:7" x14ac:dyDescent="0.2">
      <c r="A164" s="22" t="s">
        <v>246</v>
      </c>
      <c r="B164" s="137">
        <f>'DOE25'!F504</f>
        <v>182057</v>
      </c>
      <c r="C164" s="137">
        <f>'DOE25'!G504</f>
        <v>306356</v>
      </c>
      <c r="D164" s="137">
        <f>'DOE25'!H504</f>
        <v>2946594</v>
      </c>
      <c r="E164" s="137">
        <f>'DOE25'!I504</f>
        <v>56375</v>
      </c>
      <c r="F164" s="137">
        <f>'DOE25'!J504</f>
        <v>83520</v>
      </c>
      <c r="G164" s="138">
        <f t="shared" si="0"/>
        <v>3574902</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Dresden School District</v>
      </c>
    </row>
    <row r="3" spans="1:4" x14ac:dyDescent="0.2">
      <c r="B3" s="188" t="s">
        <v>1666</v>
      </c>
    </row>
    <row r="4" spans="1:4" x14ac:dyDescent="0.2">
      <c r="B4" t="s">
        <v>61</v>
      </c>
      <c r="C4" s="179">
        <f>IF('DOE25'!F666+'DOE25'!F671=0,0,ROUND('DOE25'!F673,0))</f>
        <v>23302</v>
      </c>
    </row>
    <row r="5" spans="1:4" x14ac:dyDescent="0.2">
      <c r="B5" t="s">
        <v>700</v>
      </c>
      <c r="C5" s="179">
        <f>IF('DOE25'!G666+'DOE25'!G671=0,0,ROUND('DOE25'!G673,0))</f>
        <v>0</v>
      </c>
    </row>
    <row r="6" spans="1:4" x14ac:dyDescent="0.2">
      <c r="B6" t="s">
        <v>62</v>
      </c>
      <c r="C6" s="179">
        <f>IF('DOE25'!H666+'DOE25'!H671=0,0,ROUND('DOE25'!H673,0))</f>
        <v>21422</v>
      </c>
    </row>
    <row r="7" spans="1:4" x14ac:dyDescent="0.2">
      <c r="B7" t="s">
        <v>701</v>
      </c>
      <c r="C7" s="179">
        <f>IF('DOE25'!I666+'DOE25'!I671=0,0,ROUND('DOE25'!I673,0))</f>
        <v>22065</v>
      </c>
    </row>
    <row r="9" spans="1:4" x14ac:dyDescent="0.2">
      <c r="A9" s="187" t="s">
        <v>94</v>
      </c>
      <c r="B9" s="188" t="s">
        <v>1671</v>
      </c>
      <c r="C9" s="181" t="s">
        <v>720</v>
      </c>
      <c r="D9" s="181" t="s">
        <v>721</v>
      </c>
    </row>
    <row r="10" spans="1:4" x14ac:dyDescent="0.2">
      <c r="A10">
        <v>1100</v>
      </c>
      <c r="B10" t="s">
        <v>702</v>
      </c>
      <c r="C10" s="179">
        <f>ROUND('DOE25'!L198+'DOE25'!L216+'DOE25'!L234+'DOE25'!L277+'DOE25'!L296+'DOE25'!L315,0)</f>
        <v>12158998</v>
      </c>
      <c r="D10" s="182">
        <f>ROUND((C10/$C$28)*100,1)</f>
        <v>46.8</v>
      </c>
    </row>
    <row r="11" spans="1:4" x14ac:dyDescent="0.2">
      <c r="A11">
        <v>1200</v>
      </c>
      <c r="B11" t="s">
        <v>703</v>
      </c>
      <c r="C11" s="179">
        <f>ROUND('DOE25'!L199+'DOE25'!L217+'DOE25'!L235+'DOE25'!L278+'DOE25'!L297+'DOE25'!L316,0)</f>
        <v>3272657</v>
      </c>
      <c r="D11" s="182">
        <f>ROUND((C11/$C$28)*100,1)</f>
        <v>12.6</v>
      </c>
    </row>
    <row r="12" spans="1:4" x14ac:dyDescent="0.2">
      <c r="A12">
        <v>1300</v>
      </c>
      <c r="B12" t="s">
        <v>704</v>
      </c>
      <c r="C12" s="179">
        <f>ROUND('DOE25'!L200+'DOE25'!L218+'DOE25'!L236+'DOE25'!L279+'DOE25'!L298+'DOE25'!L317,0)</f>
        <v>102345</v>
      </c>
      <c r="D12" s="182">
        <f>ROUND((C12/$C$28)*100,1)</f>
        <v>0.4</v>
      </c>
    </row>
    <row r="13" spans="1:4" x14ac:dyDescent="0.2">
      <c r="A13">
        <v>1400</v>
      </c>
      <c r="B13" t="s">
        <v>705</v>
      </c>
      <c r="C13" s="179">
        <f>ROUND('DOE25'!L201+'DOE25'!L219+'DOE25'!L237+'DOE25'!L280+'DOE25'!L299+'DOE25'!L318,0)</f>
        <v>825766</v>
      </c>
      <c r="D13" s="182">
        <f>ROUND((C13/$C$28)*100,1)</f>
        <v>3.2</v>
      </c>
    </row>
    <row r="14" spans="1:4" x14ac:dyDescent="0.2">
      <c r="D14" s="182"/>
    </row>
    <row r="15" spans="1:4" x14ac:dyDescent="0.2">
      <c r="A15">
        <v>2100</v>
      </c>
      <c r="B15" t="s">
        <v>706</v>
      </c>
      <c r="C15" s="179">
        <f>ROUND('DOE25'!L203+'DOE25'!L221+'DOE25'!L239+'DOE25'!L282+'DOE25'!L301+'DOE25'!L320,0)</f>
        <v>1494142</v>
      </c>
      <c r="D15" s="182">
        <f t="shared" ref="D15:D27" si="0">ROUND((C15/$C$28)*100,1)</f>
        <v>5.8</v>
      </c>
    </row>
    <row r="16" spans="1:4" x14ac:dyDescent="0.2">
      <c r="A16">
        <v>2200</v>
      </c>
      <c r="B16" t="s">
        <v>707</v>
      </c>
      <c r="C16" s="179">
        <f>ROUND('DOE25'!L204+'DOE25'!L222+'DOE25'!L240+'DOE25'!L283+'DOE25'!L302+'DOE25'!L321,0)</f>
        <v>658271</v>
      </c>
      <c r="D16" s="182">
        <f t="shared" si="0"/>
        <v>2.5</v>
      </c>
    </row>
    <row r="17" spans="1:4" x14ac:dyDescent="0.2">
      <c r="A17" s="183" t="s">
        <v>723</v>
      </c>
      <c r="B17" t="s">
        <v>738</v>
      </c>
      <c r="C17" s="179">
        <f>ROUND('DOE25'!L205+'DOE25'!L210+'DOE25'!L223+'DOE25'!L228+'DOE25'!L241+'DOE25'!L246+'DOE25'!L284+'DOE25'!L289+'DOE25'!L303+'DOE25'!L308+'DOE25'!L322+'DOE25'!L327,0)</f>
        <v>1194369</v>
      </c>
      <c r="D17" s="182">
        <f t="shared" si="0"/>
        <v>4.5999999999999996</v>
      </c>
    </row>
    <row r="18" spans="1:4" x14ac:dyDescent="0.2">
      <c r="A18">
        <v>2400</v>
      </c>
      <c r="B18" t="s">
        <v>711</v>
      </c>
      <c r="C18" s="179">
        <f>ROUND('DOE25'!L206+'DOE25'!L224+'DOE25'!L242+'DOE25'!L285+'DOE25'!L304+'DOE25'!L323,0)</f>
        <v>2082257</v>
      </c>
      <c r="D18" s="182">
        <f t="shared" si="0"/>
        <v>8</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2065384</v>
      </c>
      <c r="D20" s="182">
        <f t="shared" si="0"/>
        <v>8</v>
      </c>
    </row>
    <row r="21" spans="1:4" x14ac:dyDescent="0.2">
      <c r="A21">
        <v>2700</v>
      </c>
      <c r="B21" t="s">
        <v>710</v>
      </c>
      <c r="C21" s="179">
        <f>ROUND('DOE25'!L209+'DOE25'!L227+'DOE25'!L245+'DOE25'!L288+'DOE25'!L307+'DOE25'!L326,0)</f>
        <v>135724</v>
      </c>
      <c r="D21" s="182">
        <f t="shared" si="0"/>
        <v>0.5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1884306</v>
      </c>
      <c r="D25" s="182">
        <f t="shared" si="0"/>
        <v>7.3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79890</v>
      </c>
      <c r="D27" s="182">
        <f t="shared" si="0"/>
        <v>0.3</v>
      </c>
    </row>
    <row r="28" spans="1:4" x14ac:dyDescent="0.2">
      <c r="B28" s="187" t="s">
        <v>719</v>
      </c>
      <c r="C28" s="180">
        <f>SUM(C10:C27)</f>
        <v>25954109</v>
      </c>
      <c r="D28" s="184">
        <f>ROUND(SUM(D10:D27),0)</f>
        <v>100</v>
      </c>
    </row>
    <row r="29" spans="1:4" x14ac:dyDescent="0.2">
      <c r="A29">
        <v>4000</v>
      </c>
      <c r="B29" t="s">
        <v>724</v>
      </c>
      <c r="C29" s="179">
        <f>ROUND('DOE25'!L256+'DOE25'!L337+'DOE25'!L375+'DOE25'!L376+'DOE25'!L377+'DOE25'!L378+'DOE25'!L379+'DOE25'!L380+'DOE25'!L381,0)</f>
        <v>265901</v>
      </c>
    </row>
    <row r="30" spans="1:4" x14ac:dyDescent="0.2">
      <c r="B30" s="187" t="s">
        <v>725</v>
      </c>
      <c r="C30" s="180">
        <f>SUM(C28:C29)</f>
        <v>26220010</v>
      </c>
    </row>
    <row r="31" spans="1:4" x14ac:dyDescent="0.2">
      <c r="B31" s="33"/>
      <c r="C31" s="180"/>
    </row>
    <row r="32" spans="1:4" x14ac:dyDescent="0.2">
      <c r="A32">
        <v>5100</v>
      </c>
      <c r="B32" s="33" t="s">
        <v>726</v>
      </c>
      <c r="C32" s="180">
        <f>ROUND('DOE25'!L261+'DOE25'!L342,0)</f>
        <v>1736800</v>
      </c>
    </row>
    <row r="34" spans="1:4" x14ac:dyDescent="0.2">
      <c r="A34" s="187" t="s">
        <v>94</v>
      </c>
      <c r="B34" s="188" t="s">
        <v>1667</v>
      </c>
      <c r="C34" s="181" t="s">
        <v>720</v>
      </c>
      <c r="D34" s="181" t="s">
        <v>721</v>
      </c>
    </row>
    <row r="35" spans="1:4" x14ac:dyDescent="0.2">
      <c r="A35">
        <v>1100</v>
      </c>
      <c r="B35" s="185" t="s">
        <v>727</v>
      </c>
      <c r="C35" s="179">
        <f>ROUND('DOE25'!F60+'DOE25'!G60+'DOE25'!H60+'DOE25'!I60+'DOE25'!J60,0)</f>
        <v>18863208</v>
      </c>
      <c r="D35" s="182">
        <f t="shared" ref="D35:D40" si="1">ROUND((C35/$C$41)*100,1)</f>
        <v>67</v>
      </c>
    </row>
    <row r="36" spans="1:4" x14ac:dyDescent="0.2">
      <c r="B36" s="185" t="s">
        <v>739</v>
      </c>
      <c r="C36" s="179">
        <f>SUM('DOE25'!F112:J112)-SUM('DOE25'!G97:G110)+('DOE25'!F175+'DOE25'!F176+'DOE25'!I175+'DOE25'!I176)-C35</f>
        <v>5966201.9100000001</v>
      </c>
      <c r="D36" s="182">
        <f t="shared" si="1"/>
        <v>21.2</v>
      </c>
    </row>
    <row r="37" spans="1:4" x14ac:dyDescent="0.2">
      <c r="A37" s="183" t="s">
        <v>835</v>
      </c>
      <c r="B37" s="185" t="s">
        <v>728</v>
      </c>
      <c r="C37" s="179">
        <f>ROUND('DOE25'!F117+'DOE25'!F118,0)</f>
        <v>2353584</v>
      </c>
      <c r="D37" s="182">
        <f t="shared" si="1"/>
        <v>8.4</v>
      </c>
    </row>
    <row r="38" spans="1:4" x14ac:dyDescent="0.2">
      <c r="A38" s="183" t="s">
        <v>734</v>
      </c>
      <c r="B38" s="185" t="s">
        <v>729</v>
      </c>
      <c r="C38" s="179">
        <f>ROUND(SUM('DOE25'!F140:J140)-SUM('DOE25'!F117:F119),0)</f>
        <v>394780</v>
      </c>
      <c r="D38" s="182">
        <f t="shared" si="1"/>
        <v>1.4</v>
      </c>
    </row>
    <row r="39" spans="1:4" x14ac:dyDescent="0.2">
      <c r="A39">
        <v>4000</v>
      </c>
      <c r="B39" s="185" t="s">
        <v>730</v>
      </c>
      <c r="C39" s="179">
        <f>ROUND('DOE25'!F170+'DOE25'!G170+'DOE25'!H170+'DOE25'!I170,0)</f>
        <v>559411</v>
      </c>
      <c r="D39" s="182">
        <f t="shared" si="1"/>
        <v>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28137184.91</v>
      </c>
      <c r="D41" s="184">
        <f>SUM(D35:D40)</f>
        <v>100.00000000000001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Dresden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2021-10-07T19:48:23Z</cp:lastPrinted>
  <dcterms:created xsi:type="dcterms:W3CDTF">1997-12-04T19:04:30Z</dcterms:created>
  <dcterms:modified xsi:type="dcterms:W3CDTF">2021-12-14T17:47:58Z</dcterms:modified>
</cp:coreProperties>
</file>