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9200" windowHeight="10995" tabRatio="773" activeTab="5"/>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592" i="1" l="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G655" i="1"/>
  <c r="H655" i="1"/>
  <c r="H656" i="1"/>
  <c r="J656" i="1" s="1"/>
  <c r="I170" i="1"/>
  <c r="E119" i="2" l="1"/>
  <c r="K339" i="1"/>
  <c r="G339" i="1"/>
  <c r="G353" i="1" s="1"/>
  <c r="G662" i="1"/>
  <c r="E123" i="2"/>
  <c r="E110" i="2"/>
  <c r="D50" i="2"/>
  <c r="E131" i="2"/>
  <c r="E144" i="2" s="1"/>
  <c r="H409" i="1"/>
  <c r="H645" i="1" s="1"/>
  <c r="J645" i="1" s="1"/>
  <c r="G553" i="1"/>
  <c r="H477" i="1"/>
  <c r="H625" i="1" s="1"/>
  <c r="K353" i="1"/>
  <c r="D15" i="13"/>
  <c r="C15" i="13" s="1"/>
  <c r="H663" i="1"/>
  <c r="J258" i="1"/>
  <c r="J272" i="1" s="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F661" i="1" s="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H649" i="1"/>
  <c r="J653" i="1"/>
  <c r="G572" i="1"/>
  <c r="I435" i="1"/>
  <c r="G435" i="1"/>
  <c r="I664" i="1"/>
  <c r="E115" i="2" l="1"/>
  <c r="E145" i="2" s="1"/>
  <c r="L572" i="1"/>
  <c r="D51" i="2"/>
  <c r="C141" i="2"/>
  <c r="C144" i="2" s="1"/>
  <c r="H661" i="1"/>
  <c r="H665" i="1" s="1"/>
  <c r="H668" i="1" s="1"/>
  <c r="C81" i="2"/>
  <c r="E51" i="2"/>
  <c r="F51" i="2"/>
  <c r="G36" i="14"/>
  <c r="H36" i="14" s="1"/>
  <c r="I36" i="14" s="1"/>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<sst xmlns="http://schemas.openxmlformats.org/spreadsheetml/2006/main" count="5574" uniqueCount="1673">
  <si>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</si>
  <si>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</si>
  <si>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</si>
  <si>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</si>
  <si>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</si>
  <si>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</si>
  <si>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</si>
  <si>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</si>
  <si>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</si>
  <si>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</si>
  <si>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</si>
  <si>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</si>
  <si>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</si>
  <si>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</si>
  <si>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</si>
  <si>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</si>
  <si>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</si>
  <si>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</si>
  <si>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</si>
  <si>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</si>
  <si>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</si>
  <si>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</si>
  <si>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</si>
  <si>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</si>
  <si>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</si>
  <si>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</si>
  <si>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</si>
  <si>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</si>
  <si>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</si>
  <si>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</si>
  <si>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</si>
  <si>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</si>
  <si>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</si>
  <si>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</si>
  <si>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</si>
  <si>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</si>
  <si>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</si>
  <si>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</si>
  <si>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</si>
  <si>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</si>
  <si>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</si>
  <si>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</si>
  <si>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</si>
  <si>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</si>
  <si>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</si>
  <si>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</si>
  <si>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</si>
  <si>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</si>
  <si>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</si>
  <si>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</si>
  <si>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</si>
  <si>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</si>
  <si>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</si>
  <si>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</si>
  <si>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</si>
  <si>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</si>
  <si>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</si>
  <si>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</si>
  <si>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</si>
  <si>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</si>
  <si>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</si>
  <si>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</si>
  <si>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</si>
  <si>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</si>
  <si>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</si>
  <si>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</si>
  <si>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</si>
  <si>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</si>
  <si>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</si>
  <si>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</si>
  <si>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</si>
  <si>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</si>
  <si>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</si>
  <si>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</si>
  <si>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</si>
  <si>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</si>
  <si>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</si>
  <si>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</si>
  <si>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</si>
  <si>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</si>
  <si>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</si>
  <si>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</si>
  <si>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</si>
  <si>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</si>
  <si>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</si>
  <si>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</si>
  <si>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</si>
  <si>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</si>
  <si>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</si>
  <si>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</si>
  <si>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</si>
  <si>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</si>
  <si>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</si>
  <si>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</si>
  <si>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</si>
  <si>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</si>
  <si>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</si>
  <si>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</si>
  <si>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</si>
  <si>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</si>
  <si>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</si>
  <si>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</si>
  <si>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</si>
  <si>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</si>
  <si>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</si>
  <si>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</si>
  <si>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</si>
  <si>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</si>
  <si>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</si>
  <si>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</si>
  <si>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</si>
  <si>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</si>
  <si>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</si>
  <si>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</si>
  <si>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</si>
  <si>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</si>
  <si>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</si>
  <si>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</si>
  <si>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</si>
  <si>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</si>
  <si>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</si>
  <si>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</si>
  <si>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</si>
  <si>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</si>
  <si>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</si>
  <si>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</si>
  <si>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</si>
  <si>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</si>
  <si>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</si>
  <si>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</si>
  <si>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</si>
  <si>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</si>
  <si>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</si>
  <si>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</si>
  <si>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</si>
  <si>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</si>
  <si>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</si>
  <si>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</si>
  <si>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</si>
  <si>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</si>
  <si>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</si>
  <si>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</si>
  <si>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</si>
  <si>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</si>
  <si>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</si>
  <si>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</si>
  <si>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</si>
  <si>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</si>
  <si>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</si>
  <si>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</si>
  <si>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</si>
  <si>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</si>
  <si>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</si>
  <si>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</si>
  <si>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</si>
  <si>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</si>
  <si>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</si>
  <si>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</si>
  <si>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</si>
  <si>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</si>
  <si>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</si>
  <si>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</si>
  <si>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</si>
  <si>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</si>
  <si>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</si>
  <si>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</si>
  <si>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</si>
  <si>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</si>
  <si>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</si>
  <si>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</si>
  <si>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</si>
  <si>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</si>
  <si>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</si>
  <si>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</si>
  <si>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</si>
  <si>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</si>
  <si>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</si>
  <si>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</si>
  <si>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</si>
  <si>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</si>
  <si>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</si>
  <si>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</si>
  <si>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</si>
  <si>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</si>
  <si>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</si>
  <si>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</si>
  <si>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</si>
  <si>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</si>
  <si>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</si>
  <si>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</si>
  <si>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</si>
  <si>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</si>
  <si>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</si>
  <si>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</si>
  <si>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</si>
  <si>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</si>
  <si>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</si>
  <si>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</si>
  <si>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</si>
  <si>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</si>
  <si>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</si>
  <si>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</si>
  <si>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</si>
  <si>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</si>
  <si>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</si>
  <si>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</si>
  <si>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</si>
  <si>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</si>
  <si>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</si>
  <si>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</si>
  <si>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</si>
  <si>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</si>
  <si>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</si>
  <si>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</si>
  <si>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</si>
  <si>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</si>
  <si>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</si>
  <si>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</si>
  <si>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</si>
  <si>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</si>
  <si>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</si>
  <si>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</si>
  <si>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</si>
  <si>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</si>
  <si>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</si>
  <si>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</si>
  <si>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</si>
  <si>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</si>
  <si>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</si>
  <si>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</si>
  <si>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</si>
  <si>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</si>
  <si>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</si>
  <si>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</si>
  <si>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</si>
  <si>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</si>
  <si>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</si>
  <si>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</si>
  <si>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</si>
  <si>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</si>
  <si>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</si>
  <si>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</si>
  <si>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</si>
  <si>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</si>
  <si>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</si>
  <si>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</si>
  <si>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</si>
  <si>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</si>
  <si>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</si>
  <si>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</si>
  <si>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</si>
  <si>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</si>
  <si>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</si>
  <si>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</si>
  <si>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</si>
  <si>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</si>
  <si>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</si>
  <si>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</si>
  <si>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</si>
  <si>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</si>
  <si>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</si>
  <si>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</si>
  <si>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</si>
  <si>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</si>
  <si>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</si>
  <si>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</si>
  <si>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</si>
  <si>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</si>
  <si>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</si>
  <si>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</si>
  <si>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</si>
  <si>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</si>
  <si>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</si>
  <si>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</si>
  <si>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</si>
  <si>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</si>
  <si>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</si>
  <si>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</si>
  <si>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</si>
  <si>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</si>
  <si>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</si>
  <si>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</si>
  <si>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</si>
  <si>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</si>
  <si>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</si>
  <si>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</si>
  <si>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</si>
  <si>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</si>
  <si>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</si>
  <si>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</si>
  <si>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</si>
  <si>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</si>
  <si>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</si>
  <si>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</si>
  <si>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</si>
  <si>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</si>
  <si>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</si>
  <si>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</si>
  <si>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</si>
  <si>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</si>
  <si>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</si>
  <si>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</si>
  <si>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</si>
  <si>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</si>
  <si>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</si>
  <si>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</si>
  <si>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</si>
  <si>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</si>
  <si>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</si>
  <si>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</si>
  <si>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</si>
  <si>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</si>
  <si>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</si>
  <si>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</si>
  <si>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</si>
  <si>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</si>
  <si>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</si>
  <si>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</si>
  <si>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</si>
  <si>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</si>
  <si>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</si>
  <si>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</si>
  <si>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</si>
  <si>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</si>
  <si>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</si>
  <si>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</si>
  <si>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</si>
  <si>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</si>
  <si>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</si>
  <si>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</si>
  <si>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</si>
  <si>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</si>
  <si>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</si>
  <si>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</si>
  <si>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</si>
  <si>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</si>
  <si>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</si>
  <si>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</si>
  <si>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</si>
  <si>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</si>
  <si>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</si>
  <si>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</si>
  <si>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</si>
  <si>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</si>
  <si>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</si>
  <si>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</si>
  <si>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</si>
  <si>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</si>
  <si>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</si>
  <si>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</si>
  <si>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</si>
  <si>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</si>
  <si>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</si>
  <si>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</si>
  <si>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</si>
  <si>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</si>
  <si>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</si>
  <si>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</si>
  <si>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</si>
  <si>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</si>
  <si>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</si>
  <si>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</si>
  <si>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</si>
  <si>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</si>
  <si>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</si>
  <si>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</si>
  <si>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</si>
  <si>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</si>
  <si>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</si>
  <si>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</si>
  <si>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</si>
  <si>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</si>
  <si>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</si>
  <si>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</si>
  <si>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</si>
  <si>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</si>
  <si>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</si>
  <si>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</si>
  <si>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</si>
  <si>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</si>
  <si>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</si>
  <si>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</si>
  <si>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</si>
  <si>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</si>
  <si>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</si>
  <si>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</si>
  <si>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</si>
  <si>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</si>
  <si>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</si>
  <si>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</si>
  <si>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</si>
  <si>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</si>
  <si>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</si>
  <si>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</si>
  <si>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</si>
  <si>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</si>
  <si>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</si>
  <si>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</si>
  <si>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</si>
  <si>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</si>
  <si>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</si>
  <si>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</si>
  <si>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</si>
  <si>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</si>
  <si>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</si>
  <si>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</si>
  <si>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</si>
  <si>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</si>
  <si>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</si>
  <si>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</si>
  <si>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</si>
  <si>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</si>
  <si>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</si>
  <si>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</si>
  <si>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</si>
  <si>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</si>
  <si>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</si>
  <si>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</si>
  <si>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</si>
  <si>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</si>
  <si>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</si>
  <si>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</si>
  <si>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</si>
  <si>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</si>
  <si>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</si>
  <si>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</si>
  <si>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</si>
  <si>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</si>
  <si>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</si>
  <si>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</si>
  <si>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</si>
  <si>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</si>
  <si>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</si>
  <si>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</si>
  <si>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</si>
  <si>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</si>
  <si>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</si>
  <si>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</si>
  <si>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</si>
  <si>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</si>
  <si>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</si>
  <si>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</si>
  <si>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</si>
  <si>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</si>
  <si>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</si>
  <si>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</si>
  <si>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</si>
  <si>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</si>
  <si>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</si>
  <si>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</si>
  <si>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</si>
  <si>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</si>
  <si>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</si>
  <si>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</si>
  <si>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</si>
  <si>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</si>
  <si>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</si>
  <si>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</si>
  <si>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</si>
  <si>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</si>
  <si>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</si>
  <si>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</si>
  <si>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</si>
  <si>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</si>
  <si>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</si>
  <si>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</si>
  <si>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</si>
  <si>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</si>
  <si>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</si>
  <si>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</si>
  <si>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</si>
  <si>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</si>
  <si>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</si>
  <si>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</si>
  <si>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</si>
  <si>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</si>
  <si>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</si>
  <si>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</si>
  <si>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</si>
  <si>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</si>
  <si>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</si>
  <si>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</si>
  <si>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</si>
  <si>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</si>
  <si>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</si>
  <si>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</si>
  <si>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</si>
  <si>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</si>
  <si>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</si>
  <si>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</si>
  <si>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</si>
  <si>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</si>
  <si>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</si>
  <si>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</si>
  <si>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</si>
  <si>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</si>
  <si>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</si>
  <si>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</si>
  <si>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</si>
  <si>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</si>
  <si>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</si>
  <si>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</si>
  <si>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</si>
  <si>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</si>
  <si>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</si>
  <si>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</si>
  <si>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</si>
  <si>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</si>
  <si>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</si>
  <si>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</si>
  <si>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</si>
  <si>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</si>
  <si>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</si>
  <si>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</si>
  <si>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</si>
  <si>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</si>
  <si>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</si>
  <si>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</si>
  <si>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</si>
  <si>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</si>
  <si>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</si>
  <si>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</si>
  <si>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</si>
  <si>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</si>
  <si>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</si>
  <si>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</si>
  <si>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</si>
  <si>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</si>
  <si>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</si>
  <si>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</si>
  <si>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</si>
  <si>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</si>
  <si>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</si>
  <si>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</si>
  <si>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</si>
  <si>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</si>
  <si>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</si>
  <si>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</si>
  <si>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</si>
  <si>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</si>
  <si>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</si>
  <si>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</si>
  <si>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</si>
  <si>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</si>
  <si>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</si>
  <si>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</si>
  <si>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</si>
  <si>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</si>
  <si>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</si>
  <si>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</si>
  <si>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</si>
  <si>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</si>
  <si>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</si>
  <si>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</si>
  <si>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</si>
  <si>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</si>
  <si>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</si>
  <si>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</si>
  <si>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</si>
  <si>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</si>
  <si>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</si>
  <si>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</si>
  <si>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</si>
  <si>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</si>
  <si>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</si>
  <si>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</si>
  <si>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</si>
  <si>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</si>
  <si>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</si>
  <si>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</si>
  <si>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</si>
  <si>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</si>
  <si>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</si>
  <si>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</si>
  <si>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</si>
  <si>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</si>
  <si>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</si>
  <si>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</si>
  <si>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</si>
  <si>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</si>
  <si>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</si>
  <si>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</si>
  <si>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</si>
  <si>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</si>
  <si>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</si>
  <si>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</si>
  <si>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</si>
  <si>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</si>
  <si>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</si>
  <si>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</si>
  <si>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</si>
  <si>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</si>
  <si>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</si>
  <si>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</si>
  <si>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</si>
  <si>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</si>
  <si>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</si>
  <si>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</si>
  <si>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</si>
  <si>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</si>
  <si>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</si>
  <si>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</si>
  <si>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</si>
  <si>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</si>
  <si>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</si>
  <si>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</si>
  <si>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</si>
  <si>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</si>
  <si>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</si>
  <si>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</si>
  <si>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</si>
  <si>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</si>
  <si>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</si>
  <si>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</si>
  <si>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</si>
  <si>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</si>
  <si>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</si>
  <si>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</si>
  <si>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</si>
  <si>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</si>
  <si>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</si>
  <si>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</si>
  <si>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</si>
  <si>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</si>
  <si>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</si>
  <si>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</si>
  <si>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</si>
  <si>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</si>
  <si>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</si>
  <si>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</si>
  <si>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</si>
  <si>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</si>
  <si>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</si>
  <si>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</si>
  <si>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</si>
  <si>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</si>
  <si>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</si>
  <si>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</si>
  <si>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</si>
  <si>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</si>
  <si>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</si>
  <si>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</si>
  <si>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</si>
  <si>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</si>
  <si>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</si>
  <si>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</si>
  <si>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</si>
  <si>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</si>
  <si>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</si>
  <si>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</si>
  <si>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</si>
  <si>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</si>
  <si>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</si>
  <si>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</si>
  <si>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</si>
  <si>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</si>
  <si>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</si>
  <si>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</si>
  <si>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</si>
  <si>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</si>
  <si>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</si>
  <si>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</si>
  <si>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</si>
  <si>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</si>
  <si>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</si>
  <si>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</si>
  <si>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</si>
  <si>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</si>
  <si>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</si>
  <si>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</si>
  <si>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</si>
  <si>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</si>
  <si>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</si>
  <si>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</si>
  <si>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</si>
  <si>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</si>
  <si>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</si>
  <si>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</si>
  <si>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</si>
  <si>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</si>
  <si>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</si>
  <si>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</si>
  <si>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</si>
  <si>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</si>
  <si>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</si>
  <si>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</si>
  <si>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</si>
  <si>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</si>
  <si>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</si>
  <si>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</si>
  <si>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</si>
  <si>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</si>
  <si>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</si>
  <si>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</si>
  <si>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</si>
  <si>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</si>
  <si>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</si>
  <si>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</si>
  <si>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</si>
  <si>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</si>
  <si>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</si>
  <si>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</si>
  <si>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</si>
  <si>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</si>
  <si>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</si>
  <si>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</si>
  <si>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</si>
  <si>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</si>
  <si>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</si>
  <si>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</si>
  <si>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</si>
  <si>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</si>
  <si>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</si>
  <si>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</si>
  <si>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</si>
  <si>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</si>
  <si>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</si>
  <si>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</si>
  <si>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</si>
  <si>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</si>
  <si>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</si>
  <si>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</si>
  <si>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</si>
  <si>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</si>
  <si>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</si>
  <si>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</si>
  <si>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</si>
  <si>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</si>
  <si>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</si>
  <si>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</si>
  <si>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</si>
  <si>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</si>
  <si>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</si>
  <si>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</si>
  <si>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</si>
  <si>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</si>
  <si>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</si>
  <si>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</si>
  <si>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</si>
  <si>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</si>
  <si>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</si>
  <si>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</si>
  <si>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</si>
  <si>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</si>
  <si>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</si>
  <si>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</si>
  <si>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</si>
  <si>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</si>
  <si>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</si>
  <si>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</si>
  <si>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</si>
  <si>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</si>
  <si>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</si>
  <si>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</si>
  <si>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</si>
  <si>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</si>
  <si>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</si>
  <si>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</si>
  <si>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</si>
  <si>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</si>
  <si>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</si>
  <si>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</si>
  <si>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</si>
  <si>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</si>
  <si>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</si>
  <si>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</si>
  <si>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</si>
  <si>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</si>
  <si>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</si>
  <si>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</si>
  <si>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</si>
  <si>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</si>
  <si>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</si>
  <si>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</si>
  <si>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</si>
  <si>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</si>
  <si>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</si>
  <si>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</si>
  <si>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</si>
  <si>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</si>
  <si>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</si>
  <si>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</si>
  <si>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</si>
  <si>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</si>
  <si>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</si>
  <si>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</si>
  <si>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</si>
  <si>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</si>
  <si>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</si>
  <si>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</si>
  <si>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</si>
  <si>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</si>
  <si>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</si>
  <si>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</si>
  <si>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</si>
  <si>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</si>
  <si>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</si>
  <si>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</si>
  <si>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</si>
  <si>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</si>
  <si>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</si>
  <si>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</si>
  <si>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</si>
  <si>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</si>
  <si>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</si>
  <si>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</si>
  <si>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</si>
  <si>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</si>
  <si>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</si>
  <si>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</si>
  <si>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</si>
  <si>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</si>
  <si>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</si>
  <si>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</si>
  <si>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</si>
  <si>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</si>
  <si>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</si>
  <si>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</si>
  <si>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</si>
  <si>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</si>
  <si>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</si>
  <si>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</si>
  <si>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</si>
  <si>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</si>
  <si>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</si>
  <si>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</si>
  <si>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</si>
  <si>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</si>
  <si>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</si>
  <si>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</si>
  <si>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</si>
  <si>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</si>
  <si>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</si>
  <si>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</si>
  <si>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</si>
  <si>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</si>
  <si>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</si>
  <si>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</si>
  <si>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</si>
  <si>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</si>
  <si>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</si>
  <si>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</si>
  <si>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</si>
  <si>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</si>
  <si>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</si>
  <si>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</si>
  <si>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</si>
  <si>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</si>
  <si>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</si>
  <si>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</si>
  <si>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</si>
  <si>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</si>
  <si>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</si>
  <si>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</si>
  <si>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</si>
  <si>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</si>
  <si>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</si>
  <si>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</si>
  <si>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</si>
  <si>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</si>
  <si>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</si>
  <si>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</si>
  <si>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</si>
  <si>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</si>
  <si>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</si>
  <si>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</si>
  <si>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</si>
  <si>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</si>
  <si>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</si>
  <si>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</si>
  <si>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</si>
  <si>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</si>
  <si>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</si>
  <si>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</si>
  <si>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</si>
  <si>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</si>
  <si>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</si>
  <si>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</si>
  <si>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</si>
  <si>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</si>
  <si>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</si>
  <si>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</si>
  <si>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</si>
  <si>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</si>
  <si>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</si>
  <si>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</si>
  <si>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</si>
  <si>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</si>
  <si>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</si>
  <si>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</si>
  <si>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</si>
  <si>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</si>
  <si>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</si>
  <si>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</si>
  <si>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</si>
  <si>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</si>
  <si>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</si>
  <si>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</si>
  <si>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</si>
  <si>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</si>
  <si>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</si>
  <si>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</si>
  <si>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</si>
  <si>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</si>
  <si>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</si>
  <si>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</si>
  <si>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</si>
  <si>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</si>
  <si>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</si>
  <si>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</si>
  <si>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</si>
  <si>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</si>
  <si>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</si>
  <si>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</si>
  <si>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</si>
  <si>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</si>
  <si>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</si>
  <si>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</si>
  <si>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</si>
  <si>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</si>
  <si>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</si>
  <si>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</si>
  <si>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</si>
  <si>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</si>
  <si>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</si>
  <si>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</si>
  <si>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</si>
  <si>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</si>
  <si>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</si>
  <si>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</si>
  <si>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</si>
  <si>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</si>
  <si>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</si>
  <si>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</si>
  <si>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</si>
  <si>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</si>
  <si>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</si>
  <si>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</si>
  <si>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</si>
  <si>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</si>
  <si>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</si>
  <si>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</si>
  <si>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</si>
  <si>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</si>
  <si>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</si>
  <si>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</si>
  <si>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</si>
  <si>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</si>
  <si>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</si>
  <si>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</si>
  <si>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</si>
  <si>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</si>
  <si>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</si>
  <si>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</si>
  <si>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</si>
  <si>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</si>
  <si>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</si>
  <si>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</si>
  <si>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</si>
  <si>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</si>
  <si>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</si>
  <si>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</si>
  <si>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</si>
  <si>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</si>
  <si>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</si>
  <si>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</si>
  <si>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</si>
  <si>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</si>
  <si>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</si>
  <si>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</si>
  <si>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</si>
  <si>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</si>
  <si>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</si>
  <si>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</si>
  <si>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</si>
  <si>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</si>
  <si>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</si>
  <si>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</si>
  <si>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</si>
  <si>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</si>
  <si>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</si>
  <si>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</si>
  <si>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</si>
  <si>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</si>
  <si>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</si>
  <si>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</si>
  <si>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</si>
  <si>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</si>
  <si>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</si>
  <si>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</si>
  <si>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</si>
  <si>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</si>
  <si>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</si>
  <si>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</si>
  <si>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</si>
  <si>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</si>
  <si>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</si>
  <si>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</si>
  <si>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</si>
  <si>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</si>
  <si>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</si>
  <si>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</si>
  <si>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</si>
  <si>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</si>
  <si>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</si>
  <si>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</si>
  <si>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</si>
  <si>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</si>
  <si>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</si>
  <si>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</si>
  <si>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</si>
  <si>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</si>
  <si>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</si>
  <si>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</si>
  <si>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</si>
  <si>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</si>
  <si>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</si>
  <si>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</si>
  <si>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</si>
  <si>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</si>
  <si>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</si>
  <si>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</si>
  <si>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</si>
  <si>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</si>
  <si>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</si>
  <si>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</si>
  <si>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</si>
  <si>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</si>
  <si>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</si>
  <si>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</si>
  <si>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</si>
  <si>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</si>
  <si>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</si>
  <si>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</si>
  <si>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</si>
  <si>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</si>
  <si>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</si>
  <si>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</si>
  <si>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</si>
  <si>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</si>
  <si>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</si>
  <si>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</si>
  <si>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</si>
  <si>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</si>
  <si>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</si>
  <si>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</si>
  <si>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</si>
  <si>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</si>
  <si>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</si>
  <si>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</si>
  <si>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</si>
  <si>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</si>
  <si>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</si>
  <si>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</si>
  <si>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</si>
  <si>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</si>
  <si>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</si>
  <si>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</si>
  <si>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</si>
  <si>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</si>
  <si>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</si>
  <si>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</si>
  <si>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</si>
  <si>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</si>
  <si>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</si>
  <si>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</si>
  <si>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</si>
  <si>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</si>
  <si>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</si>
  <si>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</si>
  <si>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</si>
  <si>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</si>
  <si>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</si>
  <si>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</si>
  <si>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</si>
  <si>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</si>
  <si>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</si>
  <si>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</si>
  <si>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</si>
  <si>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</si>
  <si>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</si>
  <si>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</si>
  <si>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</si>
  <si>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</si>
  <si>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</si>
  <si>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</si>
  <si>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</si>
  <si>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</si>
  <si>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</si>
  <si>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</si>
  <si>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</si>
  <si>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</si>
  <si>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</si>
  <si>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</si>
  <si>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</si>
  <si>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</si>
  <si>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</si>
  <si>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</si>
  <si>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</si>
  <si>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</si>
  <si>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</si>
  <si>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</si>
  <si>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</si>
  <si>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</si>
  <si>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</si>
  <si>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</si>
  <si>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</si>
  <si>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</si>
  <si>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</si>
  <si>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</si>
  <si>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</si>
  <si>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</si>
  <si>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</si>
  <si>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</si>
  <si>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</si>
  <si>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</si>
  <si>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</si>
  <si>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</si>
  <si>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</si>
  <si>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</si>
  <si>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</si>
  <si>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</si>
  <si>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</si>
  <si>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</si>
  <si>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</si>
  <si>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</si>
  <si>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</si>
  <si>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</si>
  <si>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</si>
  <si>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</si>
  <si>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</si>
  <si>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</si>
  <si>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</si>
  <si>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</si>
  <si>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</si>
  <si>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</si>
  <si>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</si>
  <si>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</si>
  <si>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</si>
  <si>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</si>
  <si>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</si>
  <si>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</si>
  <si>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</si>
  <si>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</si>
  <si>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</si>
  <si>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</si>
  <si>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</si>
  <si>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</si>
  <si>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</si>
  <si>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</si>
  <si>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</si>
  <si>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</si>
  <si>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</si>
  <si>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</si>
  <si>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</si>
  <si>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</si>
  <si>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</si>
  <si>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</si>
  <si>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</si>
  <si>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</si>
  <si>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</si>
  <si>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</si>
  <si>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</si>
  <si>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</si>
  <si>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</si>
  <si>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</si>
  <si>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</si>
  <si>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</si>
  <si>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</si>
  <si>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</si>
  <si>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</si>
  <si>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</si>
  <si>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</si>
  <si>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</si>
  <si>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</si>
  <si>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</si>
  <si>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</si>
  <si>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</si>
  <si>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</si>
  <si>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</si>
  <si>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</si>
  <si>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</si>
  <si>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</si>
  <si>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</si>
  <si>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</si>
  <si>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</si>
  <si>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</si>
  <si>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</si>
  <si>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</si>
  <si>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</si>
  <si>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</si>
  <si>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</si>
  <si>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</si>
  <si>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</si>
  <si>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</si>
  <si>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</si>
  <si>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</si>
  <si>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</si>
  <si>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</si>
  <si>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</si>
  <si>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</si>
  <si>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</si>
  <si>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</si>
  <si>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</si>
  <si>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</si>
  <si>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</si>
  <si>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</si>
  <si>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</si>
  <si>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</si>
  <si>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</si>
  <si>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</si>
  <si>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</si>
  <si>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</si>
  <si>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</si>
  <si>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</si>
  <si>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</si>
  <si>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</si>
  <si>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</si>
  <si>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</si>
  <si>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</si>
  <si>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</si>
  <si>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</si>
  <si>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</si>
  <si>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</si>
  <si>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</si>
  <si>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</si>
  <si>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</si>
  <si>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</si>
  <si>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</si>
  <si>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</si>
  <si>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</si>
  <si>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</si>
  <si>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</si>
  <si>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</si>
  <si>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</si>
  <si>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</si>
  <si>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</si>
  <si>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</si>
  <si>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</si>
  <si>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</si>
  <si>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</si>
  <si>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</si>
  <si>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</si>
  <si>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</si>
  <si>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</si>
  <si>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</si>
  <si>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</si>
  <si>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</si>
  <si>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</si>
  <si>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</si>
  <si>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</si>
  <si>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</si>
  <si>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</si>
  <si>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</si>
  <si>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</si>
  <si>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</si>
  <si>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</si>
  <si>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</si>
  <si>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</si>
  <si>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</si>
  <si>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</si>
  <si>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</si>
  <si>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</si>
  <si>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</si>
  <si>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</si>
  <si>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</si>
  <si>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</si>
  <si>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</si>
  <si>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</si>
  <si>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</si>
  <si>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</si>
  <si>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</si>
  <si>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</si>
  <si>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</si>
  <si>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</si>
  <si>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</si>
  <si>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</si>
  <si>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</si>
  <si>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</si>
  <si>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</si>
  <si>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</si>
  <si>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</si>
  <si>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</si>
  <si>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</si>
  <si>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</si>
  <si>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</si>
  <si>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</si>
  <si>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</si>
  <si>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</si>
  <si>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</si>
  <si>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</si>
  <si>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</si>
  <si>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</si>
  <si>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</si>
  <si>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</si>
  <si>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</si>
  <si>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</si>
  <si>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</si>
  <si>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</si>
  <si>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</si>
  <si>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</si>
  <si>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</si>
  <si>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</si>
  <si>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</si>
  <si>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</si>
  <si>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</si>
  <si>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</si>
  <si>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</si>
  <si>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</si>
  <si>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</si>
  <si>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</si>
  <si>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</si>
  <si>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</si>
  <si>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</si>
  <si>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</si>
  <si>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</si>
  <si>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</si>
  <si>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</si>
  <si>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</si>
  <si>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</si>
  <si>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</si>
  <si>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</si>
  <si>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</si>
  <si>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</si>
  <si>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</si>
  <si>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</si>
  <si>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</si>
  <si>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</si>
  <si>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</si>
  <si>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</si>
  <si>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</si>
  <si>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</si>
  <si>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</si>
  <si>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</si>
  <si>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</si>
  <si>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</si>
  <si>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</si>
  <si>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</si>
  <si>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</si>
  <si>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</si>
  <si>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</si>
  <si>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</si>
  <si>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</si>
  <si>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</si>
  <si>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</si>
  <si>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</si>
  <si>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</si>
  <si>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</si>
  <si>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</si>
  <si>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</si>
  <si>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</si>
  <si>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</si>
  <si>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</si>
  <si>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</si>
  <si>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</si>
  <si>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</si>
  <si>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</si>
  <si>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</si>
  <si>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</si>
  <si>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</si>
  <si>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</si>
  <si>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</si>
  <si>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</si>
  <si>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</si>
  <si>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</si>
  <si>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</si>
  <si>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</si>
  <si>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</si>
  <si>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</si>
  <si>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</si>
  <si>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</si>
  <si>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</si>
  <si>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</si>
  <si>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</si>
  <si>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</si>
  <si>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</si>
  <si>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</si>
  <si>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</si>
  <si>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</si>
  <si>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</si>
  <si>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</si>
  <si>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</si>
  <si>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</si>
  <si>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</si>
  <si>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</si>
  <si>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</si>
  <si>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</si>
  <si>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</si>
  <si>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</si>
  <si>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</si>
  <si>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</si>
  <si>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</si>
  <si>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</si>
  <si>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</si>
  <si>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</si>
  <si>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</si>
  <si>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</si>
  <si>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</si>
  <si>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</si>
  <si>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</si>
  <si>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</si>
  <si>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</si>
  <si>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</si>
  <si>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</si>
  <si>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</si>
  <si>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</si>
  <si>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</si>
  <si>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</si>
  <si>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</si>
  <si>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</si>
  <si>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</si>
  <si>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</si>
  <si>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</si>
  <si>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</si>
  <si>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</si>
  <si>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</si>
  <si>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</si>
  <si>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</si>
  <si>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</si>
  <si>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</si>
  <si>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</si>
  <si>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</si>
  <si>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</si>
  <si>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</si>
  <si>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</si>
  <si>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</si>
  <si>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</si>
  <si>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</si>
  <si>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</si>
  <si>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</si>
  <si>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</si>
  <si>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</si>
  <si>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</si>
  <si>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</si>
  <si>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</si>
  <si>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</si>
  <si>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</si>
  <si>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</si>
  <si>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</si>
  <si>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</si>
  <si>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</si>
  <si>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</si>
  <si>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</si>
  <si>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</si>
  <si>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</si>
  <si>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</si>
  <si>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</si>
  <si>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</si>
  <si>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</si>
  <si>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</si>
  <si>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</si>
  <si>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</si>
  <si>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</si>
  <si>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</si>
  <si>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</si>
  <si>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</si>
  <si>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</si>
  <si>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</si>
  <si>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</si>
  <si>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</si>
  <si>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</si>
  <si>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</si>
  <si>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</si>
  <si>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</si>
  <si>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</si>
  <si>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</si>
  <si>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</si>
  <si>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</si>
  <si>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</si>
  <si>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</si>
  <si>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</si>
  <si>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</si>
  <si>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</si>
  <si>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</si>
  <si>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</si>
  <si>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</si>
  <si>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</si>
  <si>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</si>
  <si>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</si>
  <si>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</si>
  <si>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</si>
  <si>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</si>
  <si>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</si>
  <si>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</si>
  <si>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</si>
  <si>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</si>
  <si>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</si>
  <si>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</si>
  <si>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</si>
  <si>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</si>
  <si>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</si>
  <si>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</si>
  <si>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</si>
  <si>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</si>
  <si>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</si>
  <si>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</si>
  <si>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</si>
  <si>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</si>
  <si>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</si>
  <si>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</si>
  <si>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</si>
  <si>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</si>
  <si>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</si>
  <si>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</si>
  <si>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</si>
  <si>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</si>
  <si>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</si>
  <si>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</si>
  <si>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</si>
  <si>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</si>
  <si>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</si>
  <si>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</si>
  <si>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</si>
  <si>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</si>
  <si>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</si>
  <si>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</si>
  <si>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</si>
  <si>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</si>
  <si>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</si>
  <si>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</si>
  <si>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</si>
  <si>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</si>
  <si>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</si>
  <si>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</si>
  <si>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</si>
  <si>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</si>
  <si>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</si>
  <si>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</si>
  <si>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</si>
  <si>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</si>
  <si>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</si>
  <si>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</si>
  <si>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</si>
  <si>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</si>
  <si>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</si>
  <si>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</si>
  <si>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</si>
  <si>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</si>
  <si>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</si>
  <si>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</si>
  <si>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</si>
  <si>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</si>
  <si>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</si>
  <si>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</si>
  <si>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</si>
  <si>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</si>
  <si>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</si>
  <si>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</si>
  <si>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</si>
  <si>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</si>
  <si>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</si>
  <si>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</si>
  <si>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</si>
  <si>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</si>
  <si>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</si>
  <si>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</si>
  <si>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</si>
  <si>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</si>
  <si>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</si>
  <si>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</si>
  <si>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</si>
  <si>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</si>
  <si>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</si>
  <si>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</si>
  <si>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</si>
  <si>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</si>
  <si>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</si>
  <si>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</si>
  <si>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</si>
  <si>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</si>
  <si>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</si>
  <si>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</si>
  <si>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</si>
  <si>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</si>
  <si>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</si>
  <si>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</si>
  <si>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</si>
  <si>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</si>
  <si>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</si>
  <si>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</si>
  <si>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</si>
  <si>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</si>
  <si>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</si>
  <si>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</si>
  <si>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</si>
  <si>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</si>
  <si>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</si>
  <si>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</si>
  <si>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</si>
  <si>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</si>
  <si>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</si>
  <si>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</si>
  <si>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</si>
  <si>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</si>
  <si>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</si>
  <si>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</si>
  <si>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</si>
  <si>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</si>
  <si>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</si>
  <si>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</si>
  <si>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</si>
  <si>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</si>
  <si>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</si>
  <si>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</si>
  <si>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</si>
  <si>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</si>
  <si>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</si>
  <si>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</si>
  <si>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</si>
  <si>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</si>
  <si>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</si>
  <si>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</si>
  <si>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</si>
  <si>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</si>
  <si>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</si>
  <si>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</si>
  <si>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</si>
  <si>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</si>
  <si>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</si>
  <si>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</si>
  <si>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</si>
  <si>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</si>
  <si>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</si>
  <si>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</si>
  <si>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</si>
  <si>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</si>
  <si>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</si>
  <si>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</si>
  <si>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</si>
  <si>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</si>
  <si>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</si>
  <si>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</si>
  <si>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</si>
  <si>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</si>
  <si>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</si>
  <si>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</si>
  <si>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</si>
  <si>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</si>
  <si>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</si>
  <si>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</si>
  <si>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</si>
  <si>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</si>
  <si>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</si>
  <si>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</si>
  <si>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</si>
  <si>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</si>
  <si>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</si>
  <si>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</si>
  <si>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</si>
  <si>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</si>
  <si>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</si>
  <si>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</si>
  <si>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</si>
  <si>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</si>
  <si>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</si>
  <si>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</si>
  <si>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</si>
  <si>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</si>
  <si>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</si>
  <si>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</si>
  <si>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</si>
  <si>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</si>
  <si>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</si>
  <si>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</si>
  <si>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</si>
  <si>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</si>
  <si>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</si>
  <si>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</si>
  <si>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</si>
  <si>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</si>
  <si>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</si>
  <si>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</si>
  <si>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Dummer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</si>
</sst>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Normal="100" workbookViewId="0">
      <pane xSplit="5" ySplit="3" topLeftCell="F581" activePane="bottomRight" state="frozen"/>
      <selection pane="topRight" activeCell="F1" sqref="F1"/>
      <selection pane="bottomLeft" activeCell="A4" sqref="A4"/>
      <selection pane="bottomRight" activeCell="E2" sqref="E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147</v>
      </c>
      <c r="C2" s="21">
        <v>147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113147.43</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117094.7</v>
      </c>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3072.81</v>
      </c>
      <c r="G12" s="18"/>
      <c r="H12" s="18"/>
      <c r="I12" s="18"/>
      <c r="J12" s="67">
        <f>SUM(I442)</f>
        <v>58958.15</v>
      </c>
      <c r="K12" s="24" t="s">
        <v>288</v>
      </c>
      <c r="L12" s="24" t="s">
        <v>288</v>
      </c>
      <c r="M12" s="8"/>
      <c r="N12" s="266"/>
    </row>
    <row r="13" spans="1:14" s="3" customFormat="1" ht="12.2" customHeight="1" x14ac:dyDescent="0.15">
      <c r="A13" s="1" t="s">
        <v>604</v>
      </c>
      <c r="B13" s="2" t="s">
        <v>289</v>
      </c>
      <c r="C13" s="6">
        <v>5</v>
      </c>
      <c r="D13" s="2" t="s">
        <v>428</v>
      </c>
      <c r="E13" s="6">
        <v>140</v>
      </c>
      <c r="F13" s="18"/>
      <c r="G13" s="18"/>
      <c r="H13" s="18">
        <v>3266.39</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233314.94</v>
      </c>
      <c r="G19" s="41">
        <f>SUM(G9:G18)</f>
        <v>0</v>
      </c>
      <c r="H19" s="41">
        <f>SUM(H9:H18)</f>
        <v>3266.39</v>
      </c>
      <c r="I19" s="41">
        <f>SUM(I9:I18)</f>
        <v>0</v>
      </c>
      <c r="J19" s="41">
        <f>SUM(J9:J18)</f>
        <v>58958.15</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3072.81</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154206.47</v>
      </c>
      <c r="G23" s="18"/>
      <c r="H23" s="18">
        <v>193.58</v>
      </c>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2390.7199999999998</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156597.19</v>
      </c>
      <c r="G32" s="41">
        <f>SUM(G22:G31)</f>
        <v>0</v>
      </c>
      <c r="H32" s="41">
        <f>SUM(H22:H31)</f>
        <v>3266.39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15966</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58958.15</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60751.75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76717.75</v>
      </c>
      <c r="G51" s="41">
        <f>SUM(G35:G50)</f>
        <v>0</v>
      </c>
      <c r="H51" s="41">
        <f>SUM(H35:H50)</f>
        <v>0</v>
      </c>
      <c r="I51" s="41">
        <f>SUM(I35:I50)</f>
        <v>0</v>
      </c>
      <c r="J51" s="41">
        <f>SUM(J35:J50)</f>
        <v>58958.15</v>
      </c>
      <c r="K51" s="45" t="s">
        <v>288</v>
      </c>
      <c r="L51" s="45" t="s">
        <v>288</v>
      </c>
      <c r="N51" s="264"/>
    </row>
    <row r="52" spans="1:14" s="3" customFormat="1" ht="12.2" customHeight="1" thickTop="1" x14ac:dyDescent="0.15">
      <c r="A52" s="38" t="s">
        <v>455</v>
      </c>
      <c r="B52" s="39" t="s">
        <v>289</v>
      </c>
      <c r="C52" s="6">
        <v>37</v>
      </c>
      <c r="D52" s="39" t="s">
        <v>653</v>
      </c>
      <c r="E52" s="39"/>
      <c r="F52" s="41">
        <f>F51+F32</f>
        <v>233314.94</v>
      </c>
      <c r="G52" s="41">
        <f>G51+G32</f>
        <v>0</v>
      </c>
      <c r="H52" s="41">
        <f>H51+H32</f>
        <v>3266.39</v>
      </c>
      <c r="I52" s="41">
        <f>I51+I32</f>
        <v>0</v>
      </c>
      <c r="J52" s="41">
        <f>J51+J32</f>
        <v>58958.15</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579154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579154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80.52</v>
      </c>
      <c r="G96" s="18"/>
      <c r="H96" s="18"/>
      <c r="I96" s="18"/>
      <c r="J96" s="18">
        <v>3235.47</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608.09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688.61</v>
      </c>
      <c r="G111" s="41">
        <f>SUM(G96:G110)</f>
        <v>0</v>
      </c>
      <c r="H111" s="41">
        <f>SUM(H96:H110)</f>
        <v>0</v>
      </c>
      <c r="I111" s="41">
        <f>SUM(I96:I110)</f>
        <v>0</v>
      </c>
      <c r="J111" s="41">
        <f>SUM(J96:J110)</f>
        <v>3235.47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579842.61</v>
      </c>
      <c r="G112" s="41">
        <f>G60+G111</f>
        <v>0</v>
      </c>
      <c r="H112" s="41">
        <f>H60+H79+H94+H111</f>
        <v>0</v>
      </c>
      <c r="I112" s="41">
        <f>I60+I111</f>
        <v>0</v>
      </c>
      <c r="J112" s="41">
        <f>J60+J111</f>
        <v>3235.47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99118.55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59482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158600.54999999999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158600.54999999999</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4590.6499999999996</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4600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18"/>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9190.65</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9190.65</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738443.15999999992</v>
      </c>
      <c r="G194" s="47">
        <f>G112+G140+G170+G193</f>
        <v>0</v>
      </c>
      <c r="H194" s="47">
        <f>H112+H140+H170+H193</f>
        <v>9190.65</v>
      </c>
      <c r="I194" s="47">
        <f>I112+I140+I170+I193</f>
        <v>0</v>
      </c>
      <c r="J194" s="47">
        <f>J112+J140+J193</f>
        <v>3235.47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154557.87</v>
      </c>
      <c r="I198" s="18"/>
      <c r="J198" s="18"/>
      <c r="K198" s="18"/>
      <c r="L198" s="19">
        <f>SUM(F198:K198)</f>
        <v>154557.87</v>
      </c>
      <c r="M198" s="8"/>
      <c r="N198" s="266"/>
    </row>
    <row r="199" spans="1:14" s="3" customFormat="1" ht="12.2" customHeight="1" x14ac:dyDescent="0.15">
      <c r="A199" s="1" t="s">
        <v>439</v>
      </c>
      <c r="B199" s="2" t="s">
        <v>341</v>
      </c>
      <c r="C199" s="2" t="s">
        <v>291</v>
      </c>
      <c r="D199" s="2" t="s">
        <v>431</v>
      </c>
      <c r="E199" s="6">
        <v>1200</v>
      </c>
      <c r="F199" s="18"/>
      <c r="G199" s="18"/>
      <c r="H199" s="18">
        <v>28477.5</v>
      </c>
      <c r="I199" s="18"/>
      <c r="J199" s="18"/>
      <c r="K199" s="18">
        <v>0</v>
      </c>
      <c r="L199" s="19">
        <f>SUM(F199:K199)</f>
        <v>28477.5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v>72236.55</v>
      </c>
      <c r="I203" s="18">
        <v>52.11</v>
      </c>
      <c r="J203" s="18"/>
      <c r="K203" s="18">
        <v>0</v>
      </c>
      <c r="L203" s="19">
        <f t="shared" ref="L203:L209" si="0">SUM(F203:K203)</f>
        <v>72288.66</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v>655.5913978494624</v>
      </c>
      <c r="G205" s="18">
        <v>723.01456989247311</v>
      </c>
      <c r="H205" s="18">
        <v>21640.142473118281</v>
      </c>
      <c r="I205" s="18">
        <v>0</v>
      </c>
      <c r="J205" s="18"/>
      <c r="K205" s="18">
        <v>824.94435483870973</v>
      </c>
      <c r="L205" s="19">
        <f t="shared" si="0"/>
        <v>23843.692795698928</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v>63962.659032258067</v>
      </c>
      <c r="I209" s="18">
        <v>2763.4498387096774</v>
      </c>
      <c r="J209" s="18"/>
      <c r="K209" s="18"/>
      <c r="L209" s="19">
        <f t="shared" si="0"/>
        <v>66726.108870967742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655.5913978494624</v>
      </c>
      <c r="G212" s="41">
        <f t="shared" si="1"/>
        <v>723.01456989247311</v>
      </c>
      <c r="H212" s="41">
        <f t="shared" si="1"/>
        <v>340874.72150537634</v>
      </c>
      <c r="I212" s="41">
        <f t="shared" si="1"/>
        <v>2815.5598387096775</v>
      </c>
      <c r="J212" s="41">
        <f t="shared" si="1"/>
        <v>0</v>
      </c>
      <c r="K212" s="41">
        <f t="shared" si="1"/>
        <v>824.94435483870973</v>
      </c>
      <c r="L212" s="41">
        <f t="shared" si="1"/>
        <v>345893.83166666667</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106153.92</v>
      </c>
      <c r="I216" s="18"/>
      <c r="J216" s="18"/>
      <c r="K216" s="18"/>
      <c r="L216" s="19">
        <f>SUM(F216:K216)</f>
        <v>106153.92</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v>10.130000000000001</v>
      </c>
      <c r="I221" s="18"/>
      <c r="J221" s="18"/>
      <c r="K221" s="18"/>
      <c r="L221" s="19">
        <f t="shared" ref="L221:L227" si="2">SUM(F221:K221)</f>
        <v>10.130000000000001</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304.24317617866006</v>
      </c>
      <c r="G223" s="18">
        <v>335.53254342431762</v>
      </c>
      <c r="H223" s="18">
        <v>10042.635856079405</v>
      </c>
      <c r="I223" s="18">
        <v>0</v>
      </c>
      <c r="J223" s="18"/>
      <c r="K223" s="18">
        <v>382.83554590570725</v>
      </c>
      <c r="L223" s="19">
        <f t="shared" si="2"/>
        <v>11065.247121588091</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26701.902357320101</v>
      </c>
      <c r="I227" s="18">
        <v>1282.4462903225806</v>
      </c>
      <c r="J227" s="18"/>
      <c r="K227" s="18"/>
      <c r="L227" s="19">
        <f t="shared" si="2"/>
        <v>27984.348647642681</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304.24317617866006</v>
      </c>
      <c r="G230" s="41">
        <f>SUM(G216:G229)</f>
        <v>335.53254342431762</v>
      </c>
      <c r="H230" s="41">
        <f>SUM(H216:H229)</f>
        <v>142908.58821339952</v>
      </c>
      <c r="I230" s="41">
        <f>SUM(I216:I229)</f>
        <v>1282.4462903225806</v>
      </c>
      <c r="J230" s="41">
        <f>SUM(J216:J229)</f>
        <v>0</v>
      </c>
      <c r="K230" s="41">
        <f t="shared" si="3"/>
        <v>382.83554590570725</v>
      </c>
      <c r="L230" s="41">
        <f t="shared" si="3"/>
        <v>145213.64576923079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128954</v>
      </c>
      <c r="I234" s="18"/>
      <c r="J234" s="18"/>
      <c r="K234" s="18"/>
      <c r="L234" s="19">
        <f>SUM(F234:K234)</f>
        <v>128954</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v>380.1654259718776</v>
      </c>
      <c r="G241" s="18">
        <v>419.26288668320927</v>
      </c>
      <c r="H241" s="18">
        <v>12548.721670802317</v>
      </c>
      <c r="I241" s="18">
        <v>0</v>
      </c>
      <c r="J241" s="18"/>
      <c r="K241" s="18">
        <v>478.37009925558317</v>
      </c>
      <c r="L241" s="19">
        <f t="shared" si="4"/>
        <v>13826.520082712987</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33365.218610421842</v>
      </c>
      <c r="I245" s="18">
        <v>1602.473870967742</v>
      </c>
      <c r="J245" s="18"/>
      <c r="K245" s="18"/>
      <c r="L245" s="19">
        <f t="shared" si="4"/>
        <v>34967.692481389582</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380.1654259718776</v>
      </c>
      <c r="G248" s="41">
        <f t="shared" si="5"/>
        <v>419.26288668320927</v>
      </c>
      <c r="H248" s="41">
        <f t="shared" si="5"/>
        <v>174867.94028122415</v>
      </c>
      <c r="I248" s="41">
        <f t="shared" si="5"/>
        <v>1602.473870967742</v>
      </c>
      <c r="J248" s="41">
        <f t="shared" si="5"/>
        <v>0</v>
      </c>
      <c r="K248" s="41">
        <f t="shared" si="5"/>
        <v>478.37009925558317</v>
      </c>
      <c r="L248" s="41">
        <f t="shared" si="5"/>
        <v>177748.21256410258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1340</v>
      </c>
      <c r="G258" s="41">
        <f t="shared" si="8"/>
        <v>1477.81</v>
      </c>
      <c r="H258" s="41">
        <f t="shared" si="8"/>
        <v>658651.25</v>
      </c>
      <c r="I258" s="41">
        <f t="shared" si="8"/>
        <v>5700.4800000000005</v>
      </c>
      <c r="J258" s="41">
        <f t="shared" si="8"/>
        <v>0</v>
      </c>
      <c r="K258" s="41">
        <f t="shared" si="8"/>
        <v>1686.15</v>
      </c>
      <c r="L258" s="41">
        <f t="shared" si="8"/>
        <v>668855.69000000006</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1340</v>
      </c>
      <c r="G272" s="42">
        <f t="shared" si="11"/>
        <v>1477.81</v>
      </c>
      <c r="H272" s="42">
        <f t="shared" si="11"/>
        <v>658651.25</v>
      </c>
      <c r="I272" s="42">
        <f t="shared" si="11"/>
        <v>5700.4800000000005</v>
      </c>
      <c r="J272" s="42">
        <f t="shared" si="11"/>
        <v>0</v>
      </c>
      <c r="K272" s="42">
        <f t="shared" si="11"/>
        <v>1686.15</v>
      </c>
      <c r="L272" s="42">
        <f t="shared" si="11"/>
        <v>668855.69000000006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4334</v>
      </c>
      <c r="I282" s="18"/>
      <c r="J282" s="18"/>
      <c r="K282" s="18"/>
      <c r="L282" s="19">
        <f t="shared" ref="L282:L288" si="12">SUM(F282:K282)</f>
        <v>4334</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4334</v>
      </c>
      <c r="I291" s="42">
        <f t="shared" si="13"/>
        <v>0</v>
      </c>
      <c r="J291" s="42">
        <f t="shared" si="13"/>
        <v>0</v>
      </c>
      <c r="K291" s="42">
        <f t="shared" si="13"/>
        <v>0</v>
      </c>
      <c r="L291" s="41">
        <f t="shared" si="13"/>
        <v>4334</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4334</v>
      </c>
      <c r="I339" s="41">
        <f t="shared" si="20"/>
        <v>0</v>
      </c>
      <c r="J339" s="41">
        <f t="shared" si="20"/>
        <v>0</v>
      </c>
      <c r="K339" s="41">
        <f t="shared" si="20"/>
        <v>0</v>
      </c>
      <c r="L339" s="41">
        <f t="shared" si="20"/>
        <v>4334</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4856.6499999999996</v>
      </c>
      <c r="L351" s="19">
        <f t="shared" si="21"/>
        <v>4856.6499999999996</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4856.6499999999996</v>
      </c>
      <c r="L352" s="41">
        <f>SUM(L342:L351)</f>
        <v>4856.6499999999996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4334</v>
      </c>
      <c r="I353" s="41">
        <f>I339</f>
        <v>0</v>
      </c>
      <c r="J353" s="41">
        <f>J339</f>
        <v>0</v>
      </c>
      <c r="K353" s="47">
        <f>K339+K352</f>
        <v>4856.6499999999996</v>
      </c>
      <c r="L353" s="41">
        <f>L339+L352</f>
        <v>9190.65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v>3235.47</v>
      </c>
      <c r="I399" s="18"/>
      <c r="J399" s="24" t="s">
        <v>288</v>
      </c>
      <c r="K399" s="24" t="s">
        <v>288</v>
      </c>
      <c r="L399" s="56">
        <f t="shared" si="26"/>
        <v>3235.47</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3235.47</v>
      </c>
      <c r="I402" s="47">
        <f>SUM(I396:I401)</f>
        <v>0</v>
      </c>
      <c r="J402" s="45" t="s">
        <v>288</v>
      </c>
      <c r="K402" s="45" t="s">
        <v>288</v>
      </c>
      <c r="L402" s="47">
        <f>SUM(L396:L401)</f>
        <v>3235.47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3235.47</v>
      </c>
      <c r="I409" s="47">
        <f>I394+I402+I408</f>
        <v>0</v>
      </c>
      <c r="J409" s="24" t="s">
        <v>288</v>
      </c>
      <c r="K409" s="24" t="s">
        <v>288</v>
      </c>
      <c r="L409" s="47">
        <f>L394+L402+L408</f>
        <v>3235.47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v>106071.37</v>
      </c>
      <c r="L425" s="56">
        <f t="shared" si="29"/>
        <v>106071.37</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106071.37</v>
      </c>
      <c r="L428" s="47">
        <f t="shared" si="30"/>
        <v>106071.37</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106071.37</v>
      </c>
      <c r="L435" s="47">
        <f t="shared" si="32"/>
        <v>106071.37</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v>58958.15</v>
      </c>
      <c r="H442" s="18"/>
      <c r="I442" s="56">
        <f t="shared" si="33"/>
        <v>58958.15</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58958.15</v>
      </c>
      <c r="H447" s="13">
        <f>SUM(H440:H446)</f>
        <v>0</v>
      </c>
      <c r="I447" s="13">
        <f>SUM(I440:I446)</f>
        <v>58958.15</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58958.15</v>
      </c>
      <c r="H460" s="18"/>
      <c r="I460" s="56">
        <f t="shared" si="34"/>
        <v>58958.15</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58958.15</v>
      </c>
      <c r="H461" s="83">
        <f>SUM(H455:H460)</f>
        <v>0</v>
      </c>
      <c r="I461" s="83">
        <f>SUM(I455:I460)</f>
        <v>58958.15</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58958.15</v>
      </c>
      <c r="H462" s="42">
        <f>H453+H461</f>
        <v>0</v>
      </c>
      <c r="I462" s="42">
        <f>I453+I461</f>
        <v>58958.15</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7130.28</v>
      </c>
      <c r="G466" s="18"/>
      <c r="H466" s="18">
        <v>0</v>
      </c>
      <c r="I466" s="18"/>
      <c r="J466" s="18">
        <v>161794.04999999999</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738443.16</v>
      </c>
      <c r="G469" s="18"/>
      <c r="H469" s="18">
        <v>9190.65</v>
      </c>
      <c r="I469" s="18"/>
      <c r="J469" s="18">
        <v>3235.47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738443.16</v>
      </c>
      <c r="G471" s="53">
        <f>SUM(G469:G470)</f>
        <v>0</v>
      </c>
      <c r="H471" s="53">
        <f>SUM(H469:H470)</f>
        <v>9190.65</v>
      </c>
      <c r="I471" s="53">
        <f>SUM(I469:I470)</f>
        <v>0</v>
      </c>
      <c r="J471" s="53">
        <f>SUM(J469:J470)</f>
        <v>3235.47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668855.68999999994</v>
      </c>
      <c r="G473" s="18"/>
      <c r="H473" s="18">
        <v>9190.65</v>
      </c>
      <c r="I473" s="18"/>
      <c r="J473" s="18">
        <v>106071.37</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668855.68999999994</v>
      </c>
      <c r="G475" s="53">
        <f>SUM(G473:G474)</f>
        <v>0</v>
      </c>
      <c r="H475" s="53">
        <f>SUM(H473:H474)</f>
        <v>9190.65</v>
      </c>
      <c r="I475" s="53">
        <f>SUM(I473:I474)</f>
        <v>0</v>
      </c>
      <c r="J475" s="53">
        <f>SUM(J473:J474)</f>
        <v>106071.37</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76717.750000000116</v>
      </c>
      <c r="G477" s="53">
        <f>(G466+G471)- G475</f>
        <v>0</v>
      </c>
      <c r="H477" s="53">
        <f>(H466+H471)- H475</f>
        <v>0</v>
      </c>
      <c r="I477" s="53">
        <f>(I466+I471)- I475</f>
        <v>0</v>
      </c>
      <c r="J477" s="53">
        <f>(J466+J471)- J475</f>
        <v>58958.149999999994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28477.5</v>
      </c>
      <c r="I522" s="18"/>
      <c r="J522" s="18"/>
      <c r="K522" s="18"/>
      <c r="L522" s="88">
        <f>SUM(F522:K522)</f>
        <v>28477.5</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28477.5</v>
      </c>
      <c r="I525" s="108">
        <f t="shared" si="36"/>
        <v>0</v>
      </c>
      <c r="J525" s="108">
        <f t="shared" si="36"/>
        <v>0</v>
      </c>
      <c r="K525" s="108">
        <f t="shared" si="36"/>
        <v>0</v>
      </c>
      <c r="L525" s="89">
        <f t="shared" si="36"/>
        <v>28477.5</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76494.070000000007</v>
      </c>
      <c r="I527" s="18">
        <v>52.11</v>
      </c>
      <c r="J527" s="18"/>
      <c r="K527" s="18">
        <v>76.48</v>
      </c>
      <c r="L527" s="88">
        <f>SUM(F527:K527)</f>
        <v>76622.66</v>
      </c>
      <c r="M527" s="8"/>
      <c r="N527" s="266"/>
    </row>
    <row r="528" spans="1:14" s="3" customFormat="1" ht="12.2" customHeight="1" x14ac:dyDescent="0.15">
      <c r="A528" s="22" t="s">
        <v>634</v>
      </c>
      <c r="B528" s="105">
        <v>21</v>
      </c>
      <c r="C528" s="115">
        <v>6</v>
      </c>
      <c r="D528" s="2" t="s">
        <v>432</v>
      </c>
      <c r="E528" s="115"/>
      <c r="F528" s="18"/>
      <c r="G528" s="18"/>
      <c r="H528" s="18">
        <v>10.130000000000001</v>
      </c>
      <c r="I528" s="18"/>
      <c r="J528" s="18"/>
      <c r="K528" s="18"/>
      <c r="L528" s="88">
        <f>SUM(F528:K528)</f>
        <v>10.130000000000001</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76504.200000000012</v>
      </c>
      <c r="I530" s="89">
        <f t="shared" si="37"/>
        <v>52.11</v>
      </c>
      <c r="J530" s="89">
        <f t="shared" si="37"/>
        <v>0</v>
      </c>
      <c r="K530" s="89">
        <f t="shared" si="37"/>
        <v>76.48</v>
      </c>
      <c r="L530" s="89">
        <f t="shared" si="37"/>
        <v>76632.790000000008</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4930.41</v>
      </c>
      <c r="I532" s="18"/>
      <c r="J532" s="18"/>
      <c r="K532" s="18"/>
      <c r="L532" s="88">
        <f>SUM(F532:K532)</f>
        <v>4930.41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4930.41</v>
      </c>
      <c r="I535" s="89">
        <f t="shared" si="38"/>
        <v>0</v>
      </c>
      <c r="J535" s="89">
        <f t="shared" si="38"/>
        <v>0</v>
      </c>
      <c r="K535" s="89">
        <f t="shared" si="38"/>
        <v>0</v>
      </c>
      <c r="L535" s="89">
        <f t="shared" si="38"/>
        <v>4930.41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6424.68</v>
      </c>
      <c r="I542" s="18"/>
      <c r="J542" s="18"/>
      <c r="K542" s="18"/>
      <c r="L542" s="88">
        <f>SUM(F542:K542)</f>
        <v>6424.68</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6424.68</v>
      </c>
      <c r="I545" s="193">
        <f t="shared" si="40"/>
        <v>0</v>
      </c>
      <c r="J545" s="193">
        <f t="shared" si="40"/>
        <v>0</v>
      </c>
      <c r="K545" s="193">
        <f t="shared" si="40"/>
        <v>0</v>
      </c>
      <c r="L545" s="193">
        <f t="shared" si="40"/>
        <v>6424.68</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116336.79000000001</v>
      </c>
      <c r="I546" s="89">
        <f t="shared" si="41"/>
        <v>52.11</v>
      </c>
      <c r="J546" s="89">
        <f t="shared" si="41"/>
        <v>0</v>
      </c>
      <c r="K546" s="89">
        <f t="shared" si="41"/>
        <v>76.48</v>
      </c>
      <c r="L546" s="89">
        <f t="shared" si="41"/>
        <v>116465.38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28477.5</v>
      </c>
      <c r="G550" s="87">
        <f>L527</f>
        <v>76622.66</v>
      </c>
      <c r="H550" s="87">
        <f>L532</f>
        <v>4930.41</v>
      </c>
      <c r="I550" s="87">
        <f>L537</f>
        <v>0</v>
      </c>
      <c r="J550" s="87">
        <f>L542</f>
        <v>6424.68</v>
      </c>
      <c r="K550" s="87">
        <f>SUM(F550:J550)</f>
        <v>116455.25</v>
      </c>
      <c r="L550" s="24" t="s">
        <v>288</v>
      </c>
      <c r="M550" s="8"/>
      <c r="N550" s="266"/>
    </row>
    <row r="551" spans="1:14" s="3" customFormat="1" ht="12.2" customHeight="1" x14ac:dyDescent="0.15">
      <c r="A551" s="22" t="s">
        <v>634</v>
      </c>
      <c r="B551" s="75">
        <v>21</v>
      </c>
      <c r="C551" s="75">
        <v>23</v>
      </c>
      <c r="D551" s="2" t="s">
        <v>432</v>
      </c>
      <c r="E551" s="75"/>
      <c r="F551" s="87">
        <f>L523</f>
        <v>0</v>
      </c>
      <c r="G551" s="87">
        <f>L528</f>
        <v>10.130000000000001</v>
      </c>
      <c r="H551" s="87">
        <f>L533</f>
        <v>0</v>
      </c>
      <c r="I551" s="87">
        <f>L538</f>
        <v>0</v>
      </c>
      <c r="J551" s="87">
        <f>L543</f>
        <v>0</v>
      </c>
      <c r="K551" s="87">
        <f>SUM(F551:J551)</f>
        <v>10.130000000000001</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28477.5</v>
      </c>
      <c r="G553" s="89">
        <f t="shared" si="42"/>
        <v>76632.790000000008</v>
      </c>
      <c r="H553" s="89">
        <f t="shared" si="42"/>
        <v>4930.41</v>
      </c>
      <c r="I553" s="89">
        <f t="shared" si="42"/>
        <v>0</v>
      </c>
      <c r="J553" s="89">
        <f t="shared" si="42"/>
        <v>6424.68</v>
      </c>
      <c r="K553" s="89">
        <f t="shared" si="42"/>
        <v>116465.38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154557.87</v>
      </c>
      <c r="G576" s="18">
        <v>106153.92</v>
      </c>
      <c r="H576" s="18">
        <v>128954</v>
      </c>
      <c r="I576" s="87">
        <f>SUM(F576:H576)</f>
        <v>389665.79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66726.11-6424.68</f>
        <v>60301.43</v>
      </c>
      <c r="I592" s="18">
        <v>27984.35</v>
      </c>
      <c r="J592" s="18">
        <v>34967.69</v>
      </c>
      <c r="K592" s="104">
        <f t="shared" ref="K592:K598" si="48">SUM(H592:J592)</f>
        <v>123253.47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6424.68</v>
      </c>
      <c r="I593" s="18"/>
      <c r="J593" s="18"/>
      <c r="K593" s="104">
        <f t="shared" si="48"/>
        <v>6424.68</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66726.11</v>
      </c>
      <c r="I599" s="108">
        <f>SUM(I592:I598)</f>
        <v>27984.35</v>
      </c>
      <c r="J599" s="108">
        <f>SUM(J592:J598)</f>
        <v>34967.69</v>
      </c>
      <c r="K599" s="108">
        <f>SUM(K592:K598)</f>
        <v>129678.15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233314.94</v>
      </c>
      <c r="H618" s="109">
        <f>SUM(F52)</f>
        <v>233314.94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3266.39</v>
      </c>
      <c r="H620" s="109">
        <f>SUM(H52)</f>
        <v>3266.39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58958.15</v>
      </c>
      <c r="H622" s="109">
        <f>SUM(J52)</f>
        <v>58958.15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76717.75</v>
      </c>
      <c r="H623" s="109">
        <f>F477</f>
        <v>76717.750000000116</v>
      </c>
      <c r="I623" s="121" t="s">
        <v>101</v>
      </c>
      <c r="J623" s="109">
        <f t="shared" ref="J623:J656" si="50">G623-H623</f>
        <v>-1.1641532182693481E-10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58958.15</v>
      </c>
      <c r="H627" s="109">
        <f>J477</f>
        <v>58958.149999999994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738443.15999999992</v>
      </c>
      <c r="H628" s="104">
        <f>SUM(F469)</f>
        <v>738443.16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9190.65</v>
      </c>
      <c r="H630" s="104">
        <f>SUM(H469)</f>
        <v>9190.65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3235.47</v>
      </c>
      <c r="H632" s="104">
        <f>SUM(J469)</f>
        <v>3235.47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668855.69000000006</v>
      </c>
      <c r="H633" s="104">
        <f>SUM(F473)</f>
        <v>668855.68999999994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9190.65</v>
      </c>
      <c r="H634" s="104">
        <f>SUM(H473)</f>
        <v>9190.65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3235.47</v>
      </c>
      <c r="H638" s="164">
        <f>SUM(J469)</f>
        <v>3235.47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106071.37</v>
      </c>
      <c r="H639" s="164">
        <f>SUM(J473)</f>
        <v>106071.37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58958.15</v>
      </c>
      <c r="H641" s="104">
        <f>SUM(G462)</f>
        <v>58958.15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58958.15</v>
      </c>
      <c r="H643" s="104">
        <f>SUM(I462)</f>
        <v>58958.15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3235.47</v>
      </c>
      <c r="H645" s="104">
        <f>H409</f>
        <v>3235.47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3235.47</v>
      </c>
      <c r="H647" s="104">
        <f>L409</f>
        <v>3235.47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129678.15</v>
      </c>
      <c r="H648" s="104">
        <f>L209+L227+L245</f>
        <v>129678.15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66726.108870967742</v>
      </c>
      <c r="H650" s="104">
        <f>H599</f>
        <v>66726.11</v>
      </c>
      <c r="I650" s="140" t="s">
        <v>388</v>
      </c>
      <c r="J650" s="109">
        <f t="shared" si="50"/>
        <v>-1.1290322581771761E-3</v>
      </c>
      <c r="K650" s="85"/>
      <c r="L650" s="88"/>
      <c r="M650" s="8"/>
    </row>
    <row r="651" spans="1:13" s="3" customFormat="1" ht="12.2" customHeight="1" x14ac:dyDescent="0.15">
      <c r="A651" s="22"/>
      <c r="B651" s="105"/>
      <c r="C651" s="105"/>
      <c r="D651" s="105"/>
      <c r="E651" s="105"/>
      <c r="F651" s="120" t="s">
        <v>392</v>
      </c>
      <c r="G651" s="109">
        <f>L227</f>
        <v>27984.348647642681</v>
      </c>
      <c r="H651" s="104">
        <f>I599</f>
        <v>27984.35</v>
      </c>
      <c r="I651" s="140" t="s">
        <v>389</v>
      </c>
      <c r="J651" s="109">
        <f t="shared" si="50"/>
        <v>-1.352357317955466E-3</v>
      </c>
      <c r="K651" s="85"/>
      <c r="L651" s="88"/>
      <c r="M651" s="8"/>
    </row>
    <row r="652" spans="1:13" s="3" customFormat="1" ht="12.2" customHeight="1" x14ac:dyDescent="0.15">
      <c r="A652" s="22"/>
      <c r="B652" s="105"/>
      <c r="C652" s="105"/>
      <c r="D652" s="105"/>
      <c r="E652" s="105"/>
      <c r="F652" s="120" t="s">
        <v>393</v>
      </c>
      <c r="G652" s="109">
        <f>L245</f>
        <v>34967.692481389582</v>
      </c>
      <c r="H652" s="104">
        <f>J599</f>
        <v>34967.69</v>
      </c>
      <c r="I652" s="140" t="s">
        <v>390</v>
      </c>
      <c r="J652" s="109">
        <f t="shared" si="50"/>
        <v>2.4813895797706209E-3</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350227.83166666667</v>
      </c>
      <c r="G661" s="19">
        <f>(L230+L310+L360)</f>
        <v>145213.64576923079</v>
      </c>
      <c r="H661" s="19">
        <f>(L248+L329+L361)</f>
        <v>177748.21256410258</v>
      </c>
      <c r="I661" s="19">
        <f>SUM(F661:H661)</f>
        <v>673189.69000000006</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66726.108870967742</v>
      </c>
      <c r="G663" s="19">
        <f>(L227+L307)-(J227+J307)</f>
        <v>27984.348647642681</v>
      </c>
      <c r="H663" s="19">
        <f>(L245+L326)-(J245+J326)</f>
        <v>34967.692481389582</v>
      </c>
      <c r="I663" s="19">
        <f>SUM(F663:H663)</f>
        <v>129678.15</v>
      </c>
      <c r="J663"/>
      <c r="K663" s="13"/>
      <c r="L663" s="13"/>
      <c r="M663" s="9"/>
    </row>
    <row r="664" spans="1:13" s="3" customFormat="1" ht="12.2" customHeight="1" x14ac:dyDescent="0.15">
      <c r="A664" s="198" t="s">
        <v>129</v>
      </c>
      <c r="B664" s="169"/>
      <c r="C664" s="169"/>
      <c r="D664" s="169"/>
      <c r="E664" s="169"/>
      <c r="F664" s="199">
        <f>SUM(F576:F588)+SUM(H603:H605)+SUM(L612)</f>
        <v>154557.87</v>
      </c>
      <c r="G664" s="199">
        <f>SUM(G576:G588)+SUM(I603:I605)+L613</f>
        <v>106153.92</v>
      </c>
      <c r="H664" s="199">
        <f>SUM(H576:H588)+SUM(J603:J605)+L614</f>
        <v>128954</v>
      </c>
      <c r="I664" s="19">
        <f>SUM(F664:H664)</f>
        <v>389665.79</v>
      </c>
      <c r="J664" s="13"/>
      <c r="K664" s="13"/>
      <c r="L664" s="13"/>
      <c r="M664" s="9"/>
    </row>
    <row r="665" spans="1:13" s="3" customFormat="1" ht="12.2" customHeight="1" x14ac:dyDescent="0.15">
      <c r="A665" s="1" t="s">
        <v>130</v>
      </c>
      <c r="F665" s="19">
        <f>F661-SUM(F662:F664)</f>
        <v>128943.85279569891</v>
      </c>
      <c r="G665" s="19">
        <f>G661-SUM(G662:G664)</f>
        <v>11075.377121588099</v>
      </c>
      <c r="H665" s="19">
        <f>H661-SUM(H662:H664)</f>
        <v>13826.520082712988</v>
      </c>
      <c r="I665" s="19">
        <f>I661-SUM(I662:I664)</f>
        <v>153845.75000000012</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-128943.85</v>
      </c>
      <c r="G670" s="18">
        <v>-11075.38</v>
      </c>
      <c r="H670" s="18">
        <v>-13826.52</v>
      </c>
      <c r="I670" s="19">
        <f>SUM(F670:H670)</f>
        <v>-153845.75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C1" zoomScaleNormal="100" workbookViewId="0">
      <selection activeCell="H28" sqref="H28"/>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'DOE25'!F162+'DOE25'!G162+'DOE25'!H162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4600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4600</v>
      </c>
      <c r="F22" s="348"/>
    </row>
    <row r="23" spans="2:8" x14ac:dyDescent="0.25">
      <c r="B23" s="348"/>
      <c r="C23" s="348"/>
      <c r="D23" s="348"/>
      <c r="E23" s="348"/>
      <c r="F23" s="348"/>
    </row>
    <row r="24" spans="2:8" ht="26.25" customHeight="1" x14ac:dyDescent="0.25">
      <c r="B24" s="348"/>
      <c r="C24" s="350" t="s">
        <v>1661</v>
      </c>
      <c r="D24" s="348"/>
      <c r="E24" s="343">
        <v>4600</v>
      </c>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0" zoomScaleNormal="100" workbookViewId="0">
      <selection activeCell="G594" sqref="G594"/>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Dummer</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G594" sqref="G59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Dummer</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7" activePane="bottomLeft" state="frozen"/>
      <selection activeCell="G594" sqref="G594"/>
      <selection pane="bottomLeft" activeCell="G594" sqref="G59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Dummer</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418143.29</v>
      </c>
      <c r="D5" s="20">
        <f>SUM('DOE25'!L198:L201)+SUM('DOE25'!L216:L219)+SUM('DOE25'!L234:L237)-F5-G5-H5</f>
        <v>418143.29</v>
      </c>
      <c r="E5" s="243"/>
      <c r="F5" s="244"/>
      <c r="G5" s="53">
        <f>SUM('DOE25'!J198:J201)+SUM('DOE25'!J216:J219)+SUM('DOE25'!J234:J237)</f>
        <v>0</v>
      </c>
      <c r="H5" s="53">
        <f>SUM('DOE25'!K198:K201)+SUM('DOE25'!K216:K219)+SUM('DOE25'!K234:K237)</f>
        <v>0</v>
      </c>
      <c r="I5" s="256"/>
    </row>
    <row r="6" spans="1:9" x14ac:dyDescent="0.2">
      <c r="A6" s="32">
        <v>2100</v>
      </c>
      <c r="B6" t="s">
        <v>796</v>
      </c>
      <c r="C6" s="275">
        <f t="shared" si="0"/>
        <v>72298.790000000008</v>
      </c>
      <c r="D6" s="20">
        <f>'DOE25'!L203+'DOE25'!L221+'DOE25'!L239-F6-G6-H6</f>
        <v>72298.790000000008</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34954.430000000008</v>
      </c>
      <c r="D8" s="243"/>
      <c r="E8" s="20">
        <f>'DOE25'!L205+'DOE25'!L223+'DOE25'!L241-F8-G8-H8-D9-D11</f>
        <v>33268.280000000006</v>
      </c>
      <c r="F8" s="244"/>
      <c r="G8" s="53">
        <f>'DOE25'!J205+'DOE25'!J223+'DOE25'!J241</f>
        <v>0</v>
      </c>
      <c r="H8" s="53">
        <f>'DOE25'!K205+'DOE25'!K223+'DOE25'!K241</f>
        <v>1686.15</v>
      </c>
      <c r="I8" s="256"/>
    </row>
    <row r="9" spans="1:9" ht="14.25" x14ac:dyDescent="0.2">
      <c r="A9" s="32">
        <v>2310</v>
      </c>
      <c r="B9" s="185" t="s">
        <v>888</v>
      </c>
      <c r="C9" s="275">
        <f t="shared" si="0"/>
        <v>5151.46</v>
      </c>
      <c r="D9" s="244">
        <v>5151.46</v>
      </c>
      <c r="E9" s="243"/>
      <c r="F9" s="253"/>
      <c r="G9" s="253"/>
      <c r="H9" s="253"/>
      <c r="I9" s="256"/>
    </row>
    <row r="10" spans="1:9" ht="14.25" x14ac:dyDescent="0.2">
      <c r="A10" s="32">
        <v>2317</v>
      </c>
      <c r="B10" s="185" t="s">
        <v>889</v>
      </c>
      <c r="C10" s="275">
        <f t="shared" si="0"/>
        <v>2616.5700000000002</v>
      </c>
      <c r="D10" s="243"/>
      <c r="E10" s="244">
        <v>2616.5700000000002</v>
      </c>
      <c r="F10" s="253"/>
      <c r="G10" s="253"/>
      <c r="H10" s="253"/>
      <c r="I10" s="256"/>
    </row>
    <row r="11" spans="1:9" ht="14.25" x14ac:dyDescent="0.2">
      <c r="A11" s="32">
        <v>2321</v>
      </c>
      <c r="B11" s="185" t="s">
        <v>890</v>
      </c>
      <c r="C11" s="275">
        <f t="shared" si="0"/>
        <v>8629.57</v>
      </c>
      <c r="D11" s="244">
        <v>8629.57</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129678.15</v>
      </c>
      <c r="D15" s="20">
        <f>'DOE25'!L209+'DOE25'!L227+'DOE25'!L245-F15-G15-H15</f>
        <v>37073.049999999988</v>
      </c>
      <c r="E15" s="243"/>
      <c r="F15" s="244">
        <v>92605.1</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4334</v>
      </c>
      <c r="D31" s="20">
        <f>'DOE25'!L291+'DOE25'!L310+'DOE25'!L329+'DOE25'!L334+'DOE25'!L335+'DOE25'!L336-F31-G31-H31</f>
        <v>4334</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545630.15999999992</v>
      </c>
      <c r="E33" s="245">
        <f t="shared" si="1"/>
        <v>35884.850000000006</v>
      </c>
      <c r="F33" s="245">
        <f t="shared" si="1"/>
        <v>92605.1</v>
      </c>
      <c r="G33" s="245">
        <f t="shared" si="1"/>
        <v>0</v>
      </c>
      <c r="H33" s="245">
        <f t="shared" si="1"/>
        <v>1686.15</v>
      </c>
      <c r="I33" s="245">
        <f t="shared" si="1"/>
        <v>0</v>
      </c>
    </row>
    <row r="35" spans="1:9" ht="12" thickBot="1" x14ac:dyDescent="0.25">
      <c r="B35" s="251" t="s">
        <v>831</v>
      </c>
      <c r="D35" s="252">
        <f>E33</f>
        <v>35884.850000000006</v>
      </c>
      <c r="E35" s="248"/>
      <c r="F35" s="335" t="s">
        <v>1632</v>
      </c>
      <c r="G35" s="336"/>
      <c r="H35" s="336"/>
      <c r="I35" s="336"/>
    </row>
    <row r="36" spans="1:9" ht="12" thickTop="1" x14ac:dyDescent="0.2">
      <c r="B36" t="s">
        <v>810</v>
      </c>
      <c r="D36" s="20">
        <f>D33</f>
        <v>545630.15999999992</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Dummer</v>
      </c>
      <c r="B2" s="126">
        <f>'DOE25'!B2</f>
        <v>147</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350227.83</v>
      </c>
      <c r="G4" s="302">
        <f>'DOE25'!L212+'DOE25'!L291</f>
        <v>350227.83166666667</v>
      </c>
      <c r="H4" s="355">
        <f>F4-G4</f>
        <v>-1.6666666488163173E-3</v>
      </c>
      <c r="I4" s="372" t="str">
        <f>IF(H4=0,"","ISSUES!! Please review page 7 and 11 totals in comparison with total on this page")</f>
        <v>ISSUES!! Please review page 7 and 11 totals in comparison with total on this page</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345893.83</v>
      </c>
      <c r="E5" s="293">
        <v>4334</v>
      </c>
      <c r="F5" s="306">
        <f>D5+E5</f>
        <v>350227.83</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345893.83</v>
      </c>
      <c r="E21" s="353">
        <f>SUM(E5:E20)</f>
        <v>4334</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145213.65</v>
      </c>
      <c r="G24" s="302">
        <f>'DOE25'!L230+'DOE25'!L310</f>
        <v>145213.64576923079</v>
      </c>
      <c r="H24" s="355">
        <f>F24-G24</f>
        <v>4.2307692056056112E-3</v>
      </c>
      <c r="I24" s="372" t="str">
        <f>IF(H24=0,"","ISSUES!! Please review page 8 and 12 totals in comparison with total on this page")</f>
        <v>ISSUES!! Please review page 8 and 12 totals in comparison with total on this page</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134148.4</v>
      </c>
      <c r="E25" s="293"/>
      <c r="F25" s="306">
        <f>D25+E25</f>
        <v>134148.4</v>
      </c>
      <c r="G25" s="296"/>
      <c r="H25" s="296"/>
      <c r="I25" s="373"/>
      <c r="N25"/>
    </row>
    <row r="26" spans="1:14" x14ac:dyDescent="0.2">
      <c r="A26" s="21" t="s">
        <v>1555</v>
      </c>
      <c r="B26" s="303">
        <f>IFERROR(VLOOKUP(A26,'School Tables'!$I$3:$J$80,2,FALSE),"")</f>
        <v>99999</v>
      </c>
      <c r="C26" s="296" t="str">
        <f t="array" ref="C26">IFERROR(INDEX('School Tables'!$H$3:$H$80,MATCH('School Level Expenditures'!B26,'School Tables'!$J$3:$J$80,0)),"")</f>
        <v>Other District Expenditures</v>
      </c>
      <c r="D26" s="293">
        <v>11065.25</v>
      </c>
      <c r="E26" s="293"/>
      <c r="F26" s="306">
        <f t="shared" ref="F26:F32" si="1">D26+E26</f>
        <v>11065.25</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145213.65</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177748.21</v>
      </c>
      <c r="G36" s="302">
        <f>'DOE25'!L248+'DOE25'!L329</f>
        <v>177748.21256410258</v>
      </c>
      <c r="H36" s="355">
        <f>F36-G36</f>
        <v>-2.5641025858931243E-3</v>
      </c>
      <c r="I36" s="372" t="str">
        <f>IF(H36=0,"","ISSUES!! Please review page 9 and 13 totals in comparison with total on this page")</f>
        <v>ISSUES!! Please review page 9 and 13 totals in comparison with total on this page</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163921.69</v>
      </c>
      <c r="E37" s="293"/>
      <c r="F37" s="306">
        <f t="shared" ref="F37:F42" si="2">D37+E37</f>
        <v>163921.69</v>
      </c>
      <c r="G37" s="296"/>
      <c r="H37" s="296"/>
      <c r="I37" s="373"/>
      <c r="N37"/>
    </row>
    <row r="38" spans="1:14" x14ac:dyDescent="0.2">
      <c r="A38" s="21" t="s">
        <v>1555</v>
      </c>
      <c r="B38" s="303">
        <f>IFERROR(VLOOKUP(A38,'School Tables'!$O$3:$P$118,2,FALSE),"")</f>
        <v>99999</v>
      </c>
      <c r="C38" s="296" t="str">
        <f t="array" ref="C38">IFERROR(INDEX('School Tables'!$N$3:$N$118,MATCH('School Level Expenditures'!B38,'School Tables'!$P$3:$P$118,0)),"")</f>
        <v>Other District Expenditures</v>
      </c>
      <c r="D38" s="293">
        <v>13826.52</v>
      </c>
      <c r="E38" s="293"/>
      <c r="F38" s="306">
        <f t="shared" si="2"/>
        <v>13826.52</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177748.21</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4" activePane="bottomLeft" state="frozen"/>
      <selection activeCell="G594" sqref="G594"/>
      <selection pane="bottomLeft" activeCell="G594" sqref="G59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Dummer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113147.43</v>
      </c>
      <c r="D8" s="95">
        <f>'DOE25'!G9</f>
        <v>0</v>
      </c>
      <c r="E8" s="95">
        <f>'DOE25'!H9</f>
        <v>0</v>
      </c>
      <c r="F8" s="95">
        <f>'DOE25'!I9</f>
        <v>0</v>
      </c>
      <c r="G8" s="95">
        <f>'DOE25'!J9</f>
        <v>0</v>
      </c>
      <c r="H8" s="124"/>
      <c r="I8" s="124"/>
    </row>
    <row r="9" spans="1:9" x14ac:dyDescent="0.2">
      <c r="A9" s="1" t="s">
        <v>140</v>
      </c>
      <c r="B9" s="6">
        <v>110</v>
      </c>
      <c r="C9" s="95">
        <f>'DOE25'!F10</f>
        <v>117094.7</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3072.81</v>
      </c>
      <c r="D11" s="95">
        <f>'DOE25'!G12</f>
        <v>0</v>
      </c>
      <c r="E11" s="95">
        <f>'DOE25'!H12</f>
        <v>0</v>
      </c>
      <c r="F11" s="95">
        <f>'DOE25'!I12</f>
        <v>0</v>
      </c>
      <c r="G11" s="95">
        <f>'DOE25'!J12</f>
        <v>58958.15</v>
      </c>
      <c r="H11" s="124"/>
      <c r="I11" s="124"/>
    </row>
    <row r="12" spans="1:9" x14ac:dyDescent="0.2">
      <c r="A12" s="1" t="s">
        <v>143</v>
      </c>
      <c r="B12" s="6">
        <v>140</v>
      </c>
      <c r="C12" s="95">
        <f>'DOE25'!F13</f>
        <v>0</v>
      </c>
      <c r="D12" s="95">
        <f>'DOE25'!G13</f>
        <v>0</v>
      </c>
      <c r="E12" s="95">
        <f>'DOE25'!H13</f>
        <v>3266.39</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233314.94</v>
      </c>
      <c r="D18" s="41">
        <f>SUM(D8:D17)</f>
        <v>0</v>
      </c>
      <c r="E18" s="41">
        <f>SUM(E8:E17)</f>
        <v>3266.39</v>
      </c>
      <c r="F18" s="41">
        <f>SUM(F8:F17)</f>
        <v>0</v>
      </c>
      <c r="G18" s="41">
        <f>SUM(G8:G17)</f>
        <v>58958.15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3072.81</v>
      </c>
      <c r="F21" s="95">
        <f>'DOE25'!I22</f>
        <v>0</v>
      </c>
      <c r="G21" s="95">
        <f>'DOE25'!J22</f>
        <v>0</v>
      </c>
      <c r="H21" s="124"/>
      <c r="I21" s="124"/>
    </row>
    <row r="22" spans="1:9" x14ac:dyDescent="0.2">
      <c r="A22" s="1" t="s">
        <v>151</v>
      </c>
      <c r="B22" s="6">
        <v>410</v>
      </c>
      <c r="C22" s="95">
        <f>'DOE25'!F23</f>
        <v>154206.47</v>
      </c>
      <c r="D22" s="95">
        <f>'DOE25'!G23</f>
        <v>0</v>
      </c>
      <c r="E22" s="95">
        <f>'DOE25'!H23</f>
        <v>193.58</v>
      </c>
      <c r="F22" s="95">
        <f>'DOE25'!I23</f>
        <v>0</v>
      </c>
      <c r="G22" s="95">
        <f>'DOE25'!J23</f>
        <v>0</v>
      </c>
      <c r="H22" s="124"/>
      <c r="I22" s="124"/>
    </row>
    <row r="23" spans="1:9" x14ac:dyDescent="0.2">
      <c r="A23" s="1" t="s">
        <v>152</v>
      </c>
      <c r="B23" s="6">
        <v>420</v>
      </c>
      <c r="C23" s="95">
        <f>'DOE25'!F24</f>
        <v>2390.7199999999998</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156597.19</v>
      </c>
      <c r="D31" s="41">
        <f>SUM(D21:D30)</f>
        <v>0</v>
      </c>
      <c r="E31" s="41">
        <f>SUM(E21:E30)</f>
        <v>3266.39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15966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58958.15</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60751.75</v>
      </c>
      <c r="D49" s="24" t="s">
        <v>288</v>
      </c>
      <c r="E49" s="24" t="s">
        <v>288</v>
      </c>
      <c r="F49" s="24" t="s">
        <v>288</v>
      </c>
      <c r="G49" s="24" t="s">
        <v>288</v>
      </c>
      <c r="H49" s="124"/>
      <c r="I49" s="124"/>
    </row>
    <row r="50" spans="1:9" ht="12.75" thickTop="1" thickBot="1" x14ac:dyDescent="0.25">
      <c r="A50" s="38" t="s">
        <v>884</v>
      </c>
      <c r="B50" s="48"/>
      <c r="C50" s="41">
        <f>SUM(C34:C49)</f>
        <v>76717.75</v>
      </c>
      <c r="D50" s="41">
        <f>SUM(D34:D49)</f>
        <v>0</v>
      </c>
      <c r="E50" s="41">
        <f>SUM(E34:E49)</f>
        <v>0</v>
      </c>
      <c r="F50" s="41">
        <f>SUM(F34:F49)</f>
        <v>0</v>
      </c>
      <c r="G50" s="41">
        <f>SUM(G34:G49)</f>
        <v>58958.15</v>
      </c>
      <c r="H50" s="124"/>
      <c r="I50" s="124"/>
    </row>
    <row r="51" spans="1:9" ht="12" thickTop="1" x14ac:dyDescent="0.2">
      <c r="A51" s="38" t="s">
        <v>885</v>
      </c>
      <c r="B51" s="2"/>
      <c r="C51" s="41">
        <f>C50+C31</f>
        <v>233314.94</v>
      </c>
      <c r="D51" s="41">
        <f>D50+D31</f>
        <v>0</v>
      </c>
      <c r="E51" s="41">
        <f>E50+E31</f>
        <v>3266.39</v>
      </c>
      <c r="F51" s="41">
        <f>F50+F31</f>
        <v>0</v>
      </c>
      <c r="G51" s="41">
        <f>G50+G31</f>
        <v>58958.15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579154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80.52</v>
      </c>
      <c r="D59" s="95">
        <f>'DOE25'!G96</f>
        <v>0</v>
      </c>
      <c r="E59" s="95">
        <f>'DOE25'!H96</f>
        <v>0</v>
      </c>
      <c r="F59" s="95">
        <f>'DOE25'!I96</f>
        <v>0</v>
      </c>
      <c r="G59" s="95">
        <f>'DOE25'!J96</f>
        <v>3235.47</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608.09</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688.61</v>
      </c>
      <c r="D62" s="130">
        <f>SUM(D57:D61)</f>
        <v>0</v>
      </c>
      <c r="E62" s="130">
        <f>SUM(E57:E61)</f>
        <v>0</v>
      </c>
      <c r="F62" s="130">
        <f>SUM(F57:F61)</f>
        <v>0</v>
      </c>
      <c r="G62" s="130">
        <f>SUM(G57:G61)</f>
        <v>3235.47</v>
      </c>
      <c r="H62"/>
      <c r="I62"/>
    </row>
    <row r="63" spans="1:9" ht="12" thickTop="1" x14ac:dyDescent="0.2">
      <c r="A63" s="29" t="s">
        <v>175</v>
      </c>
      <c r="B63" s="6"/>
      <c r="C63" s="22">
        <f>C56+C62</f>
        <v>579842.61</v>
      </c>
      <c r="D63" s="22">
        <f>D56+D62</f>
        <v>0</v>
      </c>
      <c r="E63" s="22">
        <f>E56+E62</f>
        <v>0</v>
      </c>
      <c r="F63" s="22">
        <f>F56+F62</f>
        <v>0</v>
      </c>
      <c r="G63" s="22">
        <f>G56+G62</f>
        <v>3235.47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99118.55</v>
      </c>
      <c r="D66" s="24" t="s">
        <v>288</v>
      </c>
      <c r="E66" s="24" t="s">
        <v>288</v>
      </c>
      <c r="F66" s="24" t="s">
        <v>288</v>
      </c>
      <c r="G66" s="24" t="s">
        <v>288</v>
      </c>
      <c r="H66"/>
      <c r="I66"/>
    </row>
    <row r="67" spans="1:9" x14ac:dyDescent="0.2">
      <c r="A67" s="1" t="s">
        <v>770</v>
      </c>
      <c r="B67" s="6">
        <v>3112</v>
      </c>
      <c r="C67" s="95">
        <f>'DOE25'!F118</f>
        <v>59482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158600.54999999999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158600.54999999999</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9190.65</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9190.65</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738443.15999999992</v>
      </c>
      <c r="D104" s="86">
        <f>D63+D81+D91+D103</f>
        <v>0</v>
      </c>
      <c r="E104" s="86">
        <f>E63+E81+E91+E103</f>
        <v>9190.65</v>
      </c>
      <c r="F104" s="86">
        <f>F63+F81+F91+F103</f>
        <v>0</v>
      </c>
      <c r="G104" s="86">
        <f>G63+G81+G103</f>
        <v>3235.47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389665.79</v>
      </c>
      <c r="D109" s="24" t="s">
        <v>288</v>
      </c>
      <c r="E109" s="95">
        <f>('DOE25'!L277)+('DOE25'!L296)+('DOE25'!L315)</f>
        <v>0</v>
      </c>
      <c r="F109" s="24" t="s">
        <v>288</v>
      </c>
      <c r="G109" s="24" t="s">
        <v>288</v>
      </c>
    </row>
    <row r="110" spans="1:7" x14ac:dyDescent="0.2">
      <c r="A110" t="s">
        <v>198</v>
      </c>
      <c r="B110" s="32" t="s">
        <v>199</v>
      </c>
      <c r="C110" s="95">
        <f>('DOE25'!L199)+('DOE25'!L217)+('DOE25'!L235)</f>
        <v>28477.5</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418143.29</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72298.790000000008</v>
      </c>
      <c r="D118" s="24" t="s">
        <v>288</v>
      </c>
      <c r="E118" s="95">
        <f>+('DOE25'!L282)+('DOE25'!L301)+('DOE25'!L320)</f>
        <v>4334</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48735.460000000006</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129678.15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250712.40000000002</v>
      </c>
      <c r="D128" s="86">
        <f>SUM(D118:D127)</f>
        <v>0</v>
      </c>
      <c r="E128" s="86">
        <f>SUM(E118:E127)</f>
        <v>4334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106071.37</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3235.47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-3235.47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4856.6499999999996</v>
      </c>
      <c r="F143" s="24" t="s">
        <v>288</v>
      </c>
      <c r="G143" s="24" t="s">
        <v>288</v>
      </c>
    </row>
    <row r="144" spans="1:7" ht="12" thickBot="1" x14ac:dyDescent="0.25">
      <c r="A144" s="33" t="s">
        <v>243</v>
      </c>
      <c r="C144" s="141">
        <f>SUM(C130:C143)</f>
        <v>0</v>
      </c>
      <c r="D144" s="141">
        <f>SUM(D130:D143)</f>
        <v>0</v>
      </c>
      <c r="E144" s="141">
        <f>SUM(E130:E143)</f>
        <v>4856.6499999999996</v>
      </c>
      <c r="F144" s="141">
        <f>SUM(F130:F143)</f>
        <v>0</v>
      </c>
      <c r="G144" s="141">
        <f>SUM(G130:G143)</f>
        <v>106071.37</v>
      </c>
    </row>
    <row r="145" spans="1:9" ht="12.75" thickTop="1" thickBot="1" x14ac:dyDescent="0.25">
      <c r="A145" s="33" t="s">
        <v>244</v>
      </c>
      <c r="C145" s="86">
        <f>(C115+C128+C144)</f>
        <v>668855.68999999994</v>
      </c>
      <c r="D145" s="86">
        <f>(D115+D128+D144)</f>
        <v>0</v>
      </c>
      <c r="E145" s="86">
        <f>(E115+E128+E144)</f>
        <v>9190.65</v>
      </c>
      <c r="F145" s="86">
        <f>(F115+F128+F144)</f>
        <v>0</v>
      </c>
      <c r="G145" s="86">
        <f>(G115+G128+G144)</f>
        <v>106071.37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G594" sqref="G59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Dummer</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389666</v>
      </c>
      <c r="D10" s="182">
        <f>ROUND((C10/$C$28)*100,1)</f>
        <v>57.5</v>
      </c>
    </row>
    <row r="11" spans="1:4" x14ac:dyDescent="0.2">
      <c r="A11">
        <v>1200</v>
      </c>
      <c r="B11" t="s">
        <v>703</v>
      </c>
      <c r="C11" s="179">
        <f>ROUND('DOE25'!L199+'DOE25'!L217+'DOE25'!L235+'DOE25'!L278+'DOE25'!L297+'DOE25'!L316,0)</f>
        <v>28478</v>
      </c>
      <c r="D11" s="182">
        <f>ROUND((C11/$C$28)*100,1)</f>
        <v>4.2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76633</v>
      </c>
      <c r="D15" s="182">
        <f t="shared" ref="D15:D27" si="0">ROUND((C15/$C$28)*100,1)</f>
        <v>11.3</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48735</v>
      </c>
      <c r="D17" s="182">
        <f t="shared" si="0"/>
        <v>7.2</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129678</v>
      </c>
      <c r="D21" s="182">
        <f t="shared" si="0"/>
        <v>19.100000000000001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4856.6499999999996</v>
      </c>
      <c r="D26" s="182">
        <f t="shared" si="0"/>
        <v>0.7</v>
      </c>
    </row>
    <row r="27" spans="1:4" x14ac:dyDescent="0.2">
      <c r="A27">
        <v>3100</v>
      </c>
      <c r="B27" t="s">
        <v>11</v>
      </c>
      <c r="C27" s="179">
        <f>ROUND('DOE25'!L363-'DOE25'!L362,0)-SUM('DOE25'!G97:G110)</f>
        <v>0</v>
      </c>
      <c r="D27" s="182">
        <f t="shared" si="0"/>
        <v>0</v>
      </c>
    </row>
    <row r="28" spans="1:4" x14ac:dyDescent="0.2">
      <c r="B28" s="187" t="s">
        <v>719</v>
      </c>
      <c r="C28" s="180">
        <f>SUM(C10:C27)</f>
        <v>678046.65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678046.65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579154</v>
      </c>
      <c r="D35" s="182">
        <f t="shared" ref="D35:D40" si="1">ROUND((C35/$C$41)*100,1)</f>
        <v>77.099999999999994</v>
      </c>
    </row>
    <row r="36" spans="1:4" x14ac:dyDescent="0.2">
      <c r="B36" s="185" t="s">
        <v>739</v>
      </c>
      <c r="C36" s="179">
        <f>SUM('DOE25'!F112:J112)-SUM('DOE25'!G97:G110)+('DOE25'!F175+'DOE25'!F176+'DOE25'!I175+'DOE25'!I176)-C35</f>
        <v>3924.0799999999581</v>
      </c>
      <c r="D36" s="182">
        <f t="shared" si="1"/>
        <v>0.5</v>
      </c>
    </row>
    <row r="37" spans="1:4" x14ac:dyDescent="0.2">
      <c r="A37" s="183" t="s">
        <v>835</v>
      </c>
      <c r="B37" s="185" t="s">
        <v>728</v>
      </c>
      <c r="C37" s="179">
        <f>ROUND('DOE25'!F117+'DOE25'!F118,0)</f>
        <v>158601</v>
      </c>
      <c r="D37" s="182">
        <f t="shared" si="1"/>
        <v>21.1</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9191</v>
      </c>
      <c r="D39" s="182">
        <f t="shared" si="1"/>
        <v>1.2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750870.08</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G594" sqref="G594"/>
      <selection pane="bottomLeft" activeCell="G594" sqref="G594"/>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Dummer</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2021-08-31T16:44:32Z</cp:lastPrinted>
  <dcterms:created xsi:type="dcterms:W3CDTF">1997-12-04T19:04:30Z</dcterms:created>
  <dcterms:modified xsi:type="dcterms:W3CDTF">2021-12-21T13:21:21Z</dcterms:modified>
</cp:coreProperties>
</file>