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5" i="2"/>
  <c r="F128" i="2"/>
  <c r="G128"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2" i="1"/>
  <c r="G653" i="1"/>
  <c r="H653" i="1"/>
  <c r="G654" i="1"/>
  <c r="H654" i="1"/>
  <c r="G655" i="1"/>
  <c r="H655" i="1"/>
  <c r="H656" i="1"/>
  <c r="J656" i="1" s="1"/>
  <c r="G62" i="2"/>
  <c r="I170" i="1"/>
  <c r="E121" i="2" l="1"/>
  <c r="G409" i="1"/>
  <c r="H646" i="1" s="1"/>
  <c r="G477" i="1"/>
  <c r="K339" i="1"/>
  <c r="K353" i="1" s="1"/>
  <c r="I409" i="1"/>
  <c r="C12" i="10"/>
  <c r="G646" i="1"/>
  <c r="C13" i="10"/>
  <c r="E124" i="2"/>
  <c r="H663" i="1"/>
  <c r="G663" i="1"/>
  <c r="C120" i="2"/>
  <c r="J258" i="1"/>
  <c r="E123" i="2"/>
  <c r="D18" i="13"/>
  <c r="C18" i="13" s="1"/>
  <c r="E131" i="2"/>
  <c r="G553" i="1"/>
  <c r="I112" i="1"/>
  <c r="E119" i="2"/>
  <c r="D6" i="13"/>
  <c r="C6" i="13" s="1"/>
  <c r="E13" i="13"/>
  <c r="C13" i="13" s="1"/>
  <c r="G662" i="1"/>
  <c r="J652" i="1"/>
  <c r="D50" i="2"/>
  <c r="E110" i="2"/>
  <c r="D15" i="13"/>
  <c r="C15" i="13" s="1"/>
  <c r="H409" i="1"/>
  <c r="H645" i="1" s="1"/>
  <c r="J645" i="1" s="1"/>
  <c r="G339" i="1"/>
  <c r="G353" i="1" s="1"/>
  <c r="J572"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28" i="2" l="1"/>
  <c r="D51" i="2"/>
  <c r="I663" i="1"/>
  <c r="H649" i="1"/>
  <c r="L572" i="1"/>
  <c r="C81" i="2"/>
  <c r="C141" i="2"/>
  <c r="C144" i="2" s="1"/>
  <c r="H661" i="1"/>
  <c r="H665" i="1" s="1"/>
  <c r="H668" i="1" s="1"/>
  <c r="F194" i="1"/>
  <c r="G628" i="1" s="1"/>
  <c r="J628" i="1" s="1"/>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<sst xmlns="http://schemas.openxmlformats.org/spreadsheetml/2006/main" count="5573" uniqueCount="1673">
  <si>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</si>
  <si>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</si>
  <si>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</si>
  <si>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</si>
  <si>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</si>
  <si>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</si>
  <si>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</si>
  <si>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</si>
  <si>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</si>
  <si>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</si>
  <si>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</si>
  <si>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</si>
  <si>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</si>
  <si>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</si>
  <si>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</si>
  <si>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</si>
  <si>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</si>
  <si>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</si>
  <si>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</si>
  <si>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</si>
  <si>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</si>
  <si>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</si>
  <si>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</si>
  <si>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</si>
  <si>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</si>
  <si>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</si>
  <si>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</si>
  <si>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</si>
  <si>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</si>
  <si>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</si>
  <si>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</si>
  <si>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</si>
  <si>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</si>
  <si>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</si>
  <si>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</si>
  <si>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</si>
  <si>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</si>
  <si>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</si>
  <si>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</si>
  <si>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</si>
  <si>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</si>
  <si>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</si>
  <si>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</si>
  <si>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</si>
  <si>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</si>
  <si>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</si>
  <si>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</si>
  <si>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</si>
  <si>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</si>
  <si>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</si>
  <si>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</si>
  <si>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</si>
  <si>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</si>
  <si>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</si>
  <si>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</si>
  <si>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</si>
  <si>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</si>
  <si>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</si>
  <si>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</si>
  <si>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</si>
  <si>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</si>
  <si>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</si>
  <si>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</si>
  <si>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</si>
  <si>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</si>
  <si>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</si>
  <si>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</si>
  <si>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</si>
  <si>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</si>
  <si>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</si>
  <si>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</si>
  <si>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</si>
  <si>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</si>
  <si>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</si>
  <si>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</si>
  <si>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</si>
  <si>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</si>
  <si>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</si>
  <si>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</si>
  <si>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</si>
  <si>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</si>
  <si>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</si>
  <si>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</si>
  <si>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</si>
  <si>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</si>
  <si>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</si>
  <si>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</si>
  <si>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</si>
  <si>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</si>
  <si>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</si>
  <si>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</si>
  <si>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</si>
  <si>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</si>
  <si>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</si>
  <si>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</si>
  <si>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</si>
  <si>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</si>
  <si>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</si>
  <si>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</si>
  <si>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</si>
  <si>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</si>
  <si>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</si>
  <si>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</si>
  <si>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</si>
  <si>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</si>
  <si>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</si>
  <si>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</si>
  <si>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</si>
  <si>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</si>
  <si>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</si>
  <si>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</si>
  <si>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</si>
  <si>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</si>
  <si>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</si>
  <si>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</si>
  <si>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</si>
  <si>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</si>
  <si>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</si>
  <si>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</si>
  <si>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</si>
  <si>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</si>
  <si>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</si>
  <si>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</si>
  <si>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</si>
  <si>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</si>
  <si>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</si>
  <si>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</si>
  <si>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</si>
  <si>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</si>
  <si>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</si>
  <si>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</si>
  <si>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</si>
  <si>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</si>
  <si>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</si>
  <si>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</si>
  <si>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</si>
  <si>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</si>
  <si>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</si>
  <si>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</si>
  <si>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</si>
  <si>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</si>
  <si>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</si>
  <si>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</si>
  <si>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</si>
  <si>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</si>
  <si>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</si>
  <si>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</si>
  <si>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</si>
  <si>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</si>
  <si>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</si>
  <si>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</si>
  <si>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</si>
  <si>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</si>
  <si>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</si>
  <si>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</si>
  <si>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</si>
  <si>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</si>
  <si>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</si>
  <si>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</si>
  <si>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</si>
  <si>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</si>
  <si>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</si>
  <si>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</si>
  <si>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</si>
  <si>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</si>
  <si>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</si>
  <si>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</si>
  <si>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</si>
  <si>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</si>
  <si>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</si>
  <si>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</si>
  <si>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</si>
  <si>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</si>
  <si>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</si>
  <si>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</si>
  <si>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</si>
  <si>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</si>
  <si>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</si>
  <si>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</si>
  <si>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</si>
  <si>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</si>
  <si>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</si>
  <si>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</si>
  <si>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</si>
  <si>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</si>
  <si>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</si>
  <si>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</si>
  <si>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</si>
  <si>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</si>
  <si>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</si>
  <si>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</si>
  <si>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</si>
  <si>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</si>
  <si>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</si>
  <si>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</si>
  <si>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</si>
  <si>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</si>
  <si>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</si>
  <si>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</si>
  <si>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</si>
  <si>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</si>
  <si>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</si>
  <si>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</si>
  <si>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</si>
  <si>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</si>
  <si>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</si>
  <si>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</si>
  <si>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</si>
  <si>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</si>
  <si>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</si>
  <si>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</si>
  <si>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</si>
  <si>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</si>
  <si>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</si>
  <si>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</si>
  <si>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</si>
  <si>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</si>
  <si>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</si>
  <si>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</si>
  <si>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</si>
  <si>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</si>
  <si>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</si>
  <si>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</si>
  <si>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</si>
  <si>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</si>
  <si>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</si>
  <si>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</si>
  <si>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</si>
  <si>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</si>
  <si>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</si>
  <si>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</si>
  <si>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</si>
  <si>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</si>
  <si>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</si>
  <si>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</si>
  <si>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</si>
  <si>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</si>
  <si>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</si>
  <si>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</si>
  <si>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</si>
  <si>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</si>
  <si>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</si>
  <si>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</si>
  <si>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</si>
  <si>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</si>
  <si>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</si>
  <si>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</si>
  <si>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</si>
  <si>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</si>
  <si>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</si>
  <si>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</si>
  <si>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</si>
  <si>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</si>
  <si>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</si>
  <si>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</si>
  <si>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</si>
  <si>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</si>
  <si>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</si>
  <si>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</si>
  <si>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</si>
  <si>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</si>
  <si>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</si>
  <si>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</si>
  <si>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</si>
  <si>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</si>
  <si>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</si>
  <si>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</si>
  <si>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</si>
  <si>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</si>
  <si>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</si>
  <si>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</si>
  <si>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</si>
  <si>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</si>
  <si>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</si>
  <si>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</si>
  <si>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</si>
  <si>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</si>
  <si>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</si>
  <si>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</si>
  <si>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</si>
  <si>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</si>
  <si>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</si>
  <si>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</si>
  <si>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</si>
  <si>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</si>
  <si>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</si>
  <si>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</si>
  <si>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</si>
  <si>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</si>
  <si>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</si>
  <si>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</si>
  <si>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</si>
  <si>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</si>
  <si>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</si>
  <si>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</si>
  <si>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</si>
  <si>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</si>
  <si>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</si>
  <si>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</si>
  <si>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</si>
  <si>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</si>
  <si>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</si>
  <si>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</si>
  <si>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</si>
  <si>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</si>
  <si>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</si>
  <si>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</si>
  <si>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</si>
  <si>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</si>
  <si>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</si>
  <si>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</si>
  <si>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</si>
  <si>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</si>
  <si>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</si>
  <si>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</si>
  <si>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</si>
  <si>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</si>
  <si>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</si>
  <si>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</si>
  <si>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</si>
  <si>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</si>
  <si>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</si>
  <si>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</si>
  <si>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</si>
  <si>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</si>
  <si>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</si>
  <si>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</si>
  <si>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</si>
  <si>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</si>
  <si>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</si>
  <si>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</si>
  <si>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</si>
  <si>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</si>
  <si>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</si>
  <si>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</si>
  <si>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</si>
  <si>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</si>
  <si>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</si>
  <si>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</si>
  <si>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</si>
  <si>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</si>
  <si>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</si>
  <si>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</si>
  <si>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</si>
  <si>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</si>
  <si>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</si>
  <si>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</si>
  <si>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</si>
  <si>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</si>
  <si>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</si>
  <si>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</si>
  <si>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</si>
  <si>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</si>
  <si>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</si>
  <si>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</si>
  <si>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</si>
  <si>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</si>
  <si>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</si>
  <si>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</si>
  <si>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</si>
  <si>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</si>
  <si>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</si>
  <si>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</si>
  <si>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</si>
  <si>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</si>
  <si>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</si>
  <si>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</si>
  <si>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</si>
  <si>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</si>
  <si>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</si>
  <si>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</si>
  <si>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</si>
  <si>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</si>
  <si>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</si>
  <si>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</si>
  <si>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</si>
  <si>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</si>
  <si>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</si>
  <si>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</si>
  <si>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</si>
  <si>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</si>
  <si>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</si>
  <si>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</si>
  <si>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</si>
  <si>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</si>
  <si>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</si>
  <si>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</si>
  <si>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</si>
  <si>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</si>
  <si>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</si>
  <si>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</si>
  <si>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</si>
  <si>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</si>
  <si>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</si>
  <si>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</si>
  <si>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</si>
  <si>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</si>
  <si>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</si>
  <si>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</si>
  <si>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</si>
  <si>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</si>
  <si>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</si>
  <si>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</si>
  <si>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</si>
  <si>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</si>
  <si>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</si>
  <si>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</si>
  <si>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</si>
  <si>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</si>
  <si>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</si>
  <si>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</si>
  <si>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</si>
  <si>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</si>
  <si>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</si>
  <si>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</si>
  <si>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</si>
  <si>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</si>
  <si>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</si>
  <si>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</si>
  <si>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</si>
  <si>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</si>
  <si>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</si>
  <si>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</si>
  <si>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</si>
  <si>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</si>
  <si>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</si>
  <si>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</si>
  <si>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</si>
  <si>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</si>
  <si>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</si>
  <si>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</si>
  <si>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</si>
  <si>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</si>
  <si>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</si>
  <si>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</si>
  <si>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</si>
  <si>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</si>
  <si>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</si>
  <si>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</si>
  <si>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</si>
  <si>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</si>
  <si>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</si>
  <si>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</si>
  <si>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</si>
  <si>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</si>
  <si>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</si>
  <si>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</si>
  <si>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</si>
  <si>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</si>
  <si>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</si>
  <si>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</si>
  <si>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</si>
  <si>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</si>
  <si>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</si>
  <si>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</si>
  <si>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</si>
  <si>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</si>
  <si>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</si>
  <si>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</si>
  <si>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</si>
  <si>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</si>
  <si>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</si>
  <si>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</si>
  <si>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</si>
  <si>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</si>
  <si>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</si>
  <si>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</si>
  <si>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</si>
  <si>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</si>
  <si>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</si>
  <si>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</si>
  <si>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</si>
  <si>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</si>
  <si>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</si>
  <si>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</si>
  <si>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</si>
  <si>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</si>
  <si>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</si>
  <si>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</si>
  <si>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</si>
  <si>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</si>
  <si>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</si>
  <si>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</si>
  <si>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</si>
  <si>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</si>
  <si>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</si>
  <si>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</si>
  <si>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</si>
  <si>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</si>
  <si>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</si>
  <si>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</si>
  <si>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</si>
  <si>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</si>
  <si>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</si>
  <si>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</si>
  <si>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</si>
  <si>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</si>
  <si>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</si>
  <si>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</si>
  <si>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</si>
  <si>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</si>
  <si>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</si>
  <si>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</si>
  <si>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</si>
  <si>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</si>
  <si>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</si>
  <si>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</si>
  <si>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</si>
  <si>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</si>
  <si>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</si>
  <si>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</si>
  <si>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</si>
  <si>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</si>
  <si>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</si>
  <si>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</si>
  <si>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</si>
  <si>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</si>
  <si>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</si>
  <si>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</si>
  <si>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</si>
  <si>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</si>
  <si>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</si>
  <si>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</si>
  <si>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</si>
  <si>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</si>
  <si>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</si>
  <si>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</si>
  <si>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</si>
  <si>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</si>
  <si>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</si>
  <si>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</si>
  <si>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</si>
  <si>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</si>
  <si>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</si>
  <si>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</si>
  <si>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</si>
  <si>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</si>
  <si>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</si>
  <si>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</si>
  <si>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</si>
  <si>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</si>
  <si>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</si>
  <si>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</si>
  <si>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</si>
  <si>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</si>
  <si>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</si>
  <si>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</si>
  <si>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</si>
  <si>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</si>
  <si>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</si>
  <si>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</si>
  <si>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</si>
  <si>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</si>
  <si>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</si>
  <si>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</si>
  <si>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</si>
  <si>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</si>
  <si>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</si>
  <si>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</si>
  <si>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</si>
  <si>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</si>
  <si>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</si>
  <si>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</si>
  <si>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</si>
  <si>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</si>
  <si>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</si>
  <si>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</si>
  <si>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</si>
  <si>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</si>
  <si>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</si>
  <si>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</si>
  <si>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</si>
  <si>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</si>
  <si>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</si>
  <si>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</si>
  <si>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</si>
  <si>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</si>
  <si>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</si>
  <si>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</si>
  <si>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</si>
  <si>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</si>
  <si>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</si>
  <si>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</si>
  <si>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</si>
  <si>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</si>
  <si>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</si>
  <si>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</si>
  <si>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</si>
  <si>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</si>
  <si>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</si>
  <si>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</si>
  <si>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</si>
  <si>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</si>
  <si>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</si>
  <si>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</si>
  <si>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</si>
  <si>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</si>
  <si>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</si>
  <si>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</si>
  <si>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</si>
  <si>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</si>
  <si>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</si>
  <si>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</si>
  <si>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</si>
  <si>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</si>
  <si>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</si>
  <si>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</si>
  <si>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</si>
  <si>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</si>
  <si>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</si>
  <si>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</si>
  <si>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</si>
  <si>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</si>
  <si>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</si>
  <si>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</si>
  <si>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</si>
  <si>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</si>
  <si>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</si>
  <si>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</si>
  <si>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</si>
  <si>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</si>
  <si>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</si>
  <si>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</si>
  <si>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</si>
  <si>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</si>
  <si>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</si>
  <si>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</si>
  <si>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</si>
  <si>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</si>
  <si>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</si>
  <si>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</si>
  <si>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</si>
  <si>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</si>
  <si>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</si>
  <si>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</si>
  <si>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</si>
  <si>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</si>
  <si>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</si>
  <si>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</si>
  <si>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</si>
  <si>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</si>
  <si>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</si>
  <si>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</si>
  <si>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</si>
  <si>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</si>
  <si>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</si>
  <si>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</si>
  <si>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</si>
  <si>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</si>
  <si>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</si>
  <si>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</si>
  <si>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</si>
  <si>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</si>
  <si>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</si>
  <si>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</si>
  <si>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</si>
  <si>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</si>
  <si>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</si>
  <si>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</si>
  <si>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</si>
  <si>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</si>
  <si>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</si>
  <si>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</si>
  <si>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</si>
  <si>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</si>
  <si>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</si>
  <si>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</si>
  <si>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</si>
  <si>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</si>
  <si>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</si>
  <si>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</si>
  <si>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</si>
  <si>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</si>
  <si>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</si>
  <si>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</si>
  <si>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</si>
  <si>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</si>
  <si>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</si>
  <si>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</si>
  <si>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</si>
  <si>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</si>
  <si>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</si>
  <si>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</si>
  <si>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</si>
  <si>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</si>
  <si>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</si>
  <si>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</si>
  <si>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</si>
  <si>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</si>
  <si>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</si>
  <si>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</si>
  <si>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</si>
  <si>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</si>
  <si>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</si>
  <si>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</si>
  <si>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</si>
  <si>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</si>
  <si>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</si>
  <si>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</si>
  <si>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</si>
  <si>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</si>
  <si>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</si>
  <si>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</si>
  <si>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</si>
  <si>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</si>
  <si>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</si>
  <si>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</si>
  <si>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</si>
  <si>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</si>
  <si>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</si>
  <si>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</si>
  <si>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</si>
  <si>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</si>
  <si>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</si>
  <si>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</si>
  <si>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</si>
  <si>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</si>
  <si>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</si>
  <si>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</si>
  <si>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</si>
  <si>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</si>
  <si>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</si>
  <si>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</si>
  <si>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</si>
  <si>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</si>
  <si>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</si>
  <si>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</si>
  <si>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</si>
  <si>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</si>
  <si>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</si>
  <si>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</si>
  <si>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</si>
  <si>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</si>
  <si>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</si>
  <si>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</si>
  <si>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</si>
  <si>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</si>
  <si>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</si>
  <si>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</si>
  <si>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</si>
  <si>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</si>
  <si>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</si>
  <si>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</si>
  <si>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</si>
  <si>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</si>
  <si>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</si>
  <si>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</si>
  <si>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</si>
  <si>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</si>
  <si>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</si>
  <si>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</si>
  <si>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</si>
  <si>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</si>
  <si>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</si>
  <si>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</si>
  <si>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</si>
  <si>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</si>
  <si>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</si>
  <si>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</si>
  <si>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</si>
  <si>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</si>
  <si>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</si>
  <si>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</si>
  <si>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</si>
  <si>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</si>
  <si>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</si>
  <si>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</si>
  <si>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</si>
  <si>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</si>
  <si>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</si>
  <si>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</si>
  <si>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</si>
  <si>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</si>
  <si>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</si>
  <si>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</si>
  <si>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</si>
  <si>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</si>
  <si>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</si>
  <si>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</si>
  <si>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</si>
  <si>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</si>
  <si>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</si>
  <si>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</si>
  <si>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</si>
  <si>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</si>
  <si>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</si>
  <si>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</si>
  <si>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</si>
  <si>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</si>
  <si>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</si>
  <si>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</si>
  <si>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</si>
  <si>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</si>
  <si>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</si>
  <si>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</si>
  <si>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</si>
  <si>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</si>
  <si>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</si>
  <si>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</si>
  <si>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</si>
  <si>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</si>
  <si>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</si>
  <si>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</si>
  <si>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</si>
  <si>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</si>
  <si>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</si>
  <si>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</si>
  <si>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</si>
  <si>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</si>
  <si>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</si>
  <si>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</si>
  <si>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</si>
  <si>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</si>
  <si>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</si>
  <si>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</si>
  <si>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</si>
  <si>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</si>
  <si>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</si>
  <si>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</si>
  <si>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</si>
  <si>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</si>
  <si>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</si>
  <si>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</si>
  <si>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</si>
  <si>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</si>
  <si>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</si>
  <si>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</si>
  <si>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</si>
  <si>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</si>
  <si>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</si>
  <si>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</si>
  <si>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</si>
  <si>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</si>
  <si>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</si>
  <si>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</si>
  <si>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</si>
  <si>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</si>
  <si>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</si>
  <si>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</si>
  <si>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</si>
  <si>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</si>
  <si>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</si>
  <si>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</si>
  <si>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</si>
  <si>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</si>
  <si>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</si>
  <si>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</si>
  <si>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</si>
  <si>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</si>
  <si>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</si>
  <si>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</si>
  <si>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</si>
  <si>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</si>
  <si>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</si>
  <si>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</si>
  <si>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</si>
  <si>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</si>
  <si>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</si>
  <si>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</si>
  <si>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</si>
  <si>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</si>
  <si>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</si>
  <si>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</si>
  <si>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</si>
  <si>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</si>
  <si>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</si>
  <si>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</si>
  <si>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</si>
  <si>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</si>
  <si>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</si>
  <si>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</si>
  <si>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</si>
  <si>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</si>
  <si>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</si>
  <si>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</si>
  <si>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</si>
  <si>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</si>
  <si>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</si>
  <si>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</si>
  <si>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</si>
  <si>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</si>
  <si>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</si>
  <si>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</si>
  <si>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</si>
  <si>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</si>
  <si>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</si>
  <si>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</si>
  <si>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</si>
  <si>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</si>
  <si>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</si>
  <si>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</si>
  <si>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</si>
  <si>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</si>
  <si>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</si>
  <si>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</si>
  <si>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</si>
  <si>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</si>
  <si>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</si>
  <si>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</si>
  <si>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</si>
  <si>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</si>
  <si>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</si>
  <si>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</si>
  <si>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</si>
  <si>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</si>
  <si>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</si>
  <si>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</si>
  <si>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</si>
  <si>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</si>
  <si>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</si>
  <si>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</si>
  <si>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</si>
  <si>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</si>
  <si>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</si>
  <si>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</si>
  <si>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</si>
  <si>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</si>
  <si>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</si>
  <si>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</si>
  <si>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</si>
  <si>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</si>
  <si>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</si>
  <si>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</si>
  <si>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</si>
  <si>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</si>
  <si>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</si>
  <si>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</si>
  <si>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</si>
  <si>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</si>
  <si>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</si>
  <si>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</si>
  <si>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</si>
  <si>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</si>
  <si>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</si>
  <si>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</si>
  <si>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</si>
  <si>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</si>
  <si>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</si>
  <si>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</si>
  <si>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</si>
  <si>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</si>
  <si>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</si>
  <si>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</si>
  <si>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</si>
  <si>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</si>
  <si>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</si>
  <si>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</si>
  <si>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</si>
  <si>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</si>
  <si>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</si>
  <si>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</si>
  <si>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</si>
  <si>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</si>
  <si>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</si>
  <si>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</si>
  <si>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</si>
  <si>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</si>
  <si>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</si>
  <si>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</si>
  <si>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</si>
  <si>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</si>
  <si>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</si>
  <si>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</si>
  <si>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</si>
  <si>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</si>
  <si>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</si>
  <si>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</si>
  <si>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</si>
  <si>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</si>
  <si>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</si>
  <si>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</si>
  <si>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</si>
  <si>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</si>
  <si>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</si>
  <si>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</si>
  <si>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</si>
  <si>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</si>
  <si>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</si>
  <si>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</si>
  <si>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</si>
  <si>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</si>
  <si>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</si>
  <si>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</si>
  <si>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</si>
  <si>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</si>
  <si>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</si>
  <si>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</si>
  <si>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</si>
  <si>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</si>
  <si>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</si>
  <si>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</si>
  <si>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</si>
  <si>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</si>
  <si>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</si>
  <si>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</si>
  <si>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</si>
  <si>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</si>
  <si>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</si>
  <si>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</si>
  <si>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</si>
  <si>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</si>
  <si>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</si>
  <si>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</si>
  <si>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</si>
  <si>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</si>
  <si>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</si>
  <si>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</si>
  <si>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</si>
  <si>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</si>
  <si>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</si>
  <si>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</si>
  <si>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</si>
  <si>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</si>
  <si>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</si>
  <si>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</si>
  <si>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</si>
  <si>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</si>
  <si>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</si>
  <si>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</si>
  <si>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</si>
  <si>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</si>
  <si>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</si>
  <si>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</si>
  <si>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</si>
  <si>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</si>
  <si>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</si>
  <si>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</si>
  <si>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</si>
  <si>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</si>
  <si>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</si>
  <si>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</si>
  <si>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</si>
  <si>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</si>
  <si>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</si>
  <si>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</si>
  <si>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</si>
  <si>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</si>
  <si>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</si>
  <si>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</si>
  <si>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</si>
  <si>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</si>
  <si>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</si>
  <si>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</si>
  <si>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</si>
  <si>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</si>
  <si>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</si>
  <si>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</si>
  <si>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</si>
  <si>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</si>
  <si>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</si>
  <si>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</si>
  <si>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</si>
  <si>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</si>
  <si>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</si>
  <si>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</si>
  <si>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</si>
  <si>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</si>
  <si>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</si>
  <si>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</si>
  <si>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</si>
  <si>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</si>
  <si>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</si>
  <si>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</si>
  <si>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</si>
  <si>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</si>
  <si>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</si>
  <si>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</si>
  <si>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</si>
  <si>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</si>
  <si>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</si>
  <si>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</si>
  <si>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</si>
  <si>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</si>
  <si>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</si>
  <si>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</si>
  <si>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</si>
  <si>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</si>
  <si>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</si>
  <si>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</si>
  <si>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</si>
  <si>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</si>
  <si>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</si>
  <si>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</si>
  <si>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</si>
  <si>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</si>
  <si>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</si>
  <si>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</si>
  <si>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</si>
  <si>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</si>
  <si>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</si>
  <si>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</si>
  <si>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</si>
  <si>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</si>
  <si>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</si>
  <si>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</si>
  <si>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</si>
  <si>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</si>
  <si>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</si>
  <si>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</si>
  <si>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</si>
  <si>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</si>
  <si>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</si>
  <si>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</si>
  <si>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</si>
  <si>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</si>
  <si>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</si>
  <si>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</si>
  <si>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</si>
  <si>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</si>
  <si>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</si>
  <si>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</si>
  <si>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</si>
  <si>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</si>
  <si>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</si>
  <si>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</si>
  <si>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</si>
  <si>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</si>
  <si>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</si>
  <si>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</si>
  <si>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</si>
  <si>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</si>
  <si>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</si>
  <si>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</si>
  <si>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</si>
  <si>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</si>
  <si>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</si>
  <si>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</si>
  <si>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</si>
  <si>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</si>
  <si>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</si>
  <si>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</si>
  <si>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</si>
  <si>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</si>
  <si>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</si>
  <si>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</si>
  <si>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</si>
  <si>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</si>
  <si>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</si>
  <si>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</si>
  <si>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</si>
  <si>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</si>
  <si>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</si>
  <si>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</si>
  <si>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</si>
  <si>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</si>
  <si>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</si>
  <si>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</si>
  <si>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</si>
  <si>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</si>
  <si>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</si>
  <si>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</si>
  <si>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</si>
  <si>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</si>
  <si>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</si>
  <si>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</si>
  <si>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</si>
  <si>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</si>
  <si>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</si>
  <si>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</si>
  <si>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</si>
  <si>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</si>
  <si>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</si>
  <si>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</si>
  <si>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</si>
  <si>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</si>
  <si>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</si>
  <si>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</si>
  <si>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</si>
  <si>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</si>
  <si>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</si>
  <si>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</si>
  <si>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</si>
  <si>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</si>
  <si>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</si>
  <si>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</si>
  <si>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</si>
  <si>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</si>
  <si>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</si>
  <si>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</si>
  <si>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</si>
  <si>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</si>
  <si>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</si>
  <si>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</si>
  <si>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</si>
  <si>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</si>
  <si>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</si>
  <si>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</si>
  <si>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</si>
  <si>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</si>
  <si>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</si>
  <si>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</si>
  <si>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</si>
  <si>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</si>
  <si>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</si>
  <si>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</si>
  <si>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</si>
  <si>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</si>
  <si>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</si>
  <si>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</si>
  <si>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</si>
  <si>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</si>
  <si>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</si>
  <si>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</si>
  <si>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</si>
  <si>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</si>
  <si>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</si>
  <si>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</si>
  <si>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</si>
  <si>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</si>
  <si>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</si>
  <si>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</si>
  <si>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</si>
  <si>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</si>
  <si>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</si>
  <si>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</si>
  <si>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</si>
  <si>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</si>
  <si>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</si>
  <si>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</si>
  <si>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</si>
  <si>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</si>
  <si>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</si>
  <si>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</si>
  <si>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</si>
  <si>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</si>
  <si>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</si>
  <si>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</si>
  <si>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</si>
  <si>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</si>
  <si>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</si>
  <si>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</si>
  <si>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</si>
  <si>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</si>
  <si>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</si>
  <si>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</si>
  <si>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</si>
  <si>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</si>
  <si>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</si>
  <si>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</si>
  <si>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</si>
  <si>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</si>
  <si>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</si>
  <si>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</si>
  <si>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</si>
  <si>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</si>
  <si>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</si>
  <si>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</si>
  <si>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</si>
  <si>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</si>
  <si>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</si>
  <si>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</si>
  <si>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</si>
  <si>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</si>
  <si>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</si>
  <si>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</si>
  <si>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</si>
  <si>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</si>
  <si>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</si>
  <si>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</si>
  <si>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</si>
  <si>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</si>
  <si>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</si>
  <si>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</si>
  <si>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</si>
  <si>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</si>
  <si>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</si>
  <si>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</si>
  <si>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</si>
  <si>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</si>
  <si>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</si>
  <si>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</si>
  <si>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</si>
  <si>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</si>
  <si>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</si>
  <si>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</si>
  <si>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</si>
  <si>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</si>
  <si>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</si>
  <si>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</si>
  <si>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</si>
  <si>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</si>
  <si>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</si>
  <si>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</si>
  <si>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</si>
  <si>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</si>
  <si>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</si>
  <si>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</si>
  <si>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</si>
  <si>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</si>
  <si>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</si>
  <si>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</si>
  <si>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</si>
  <si>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</si>
  <si>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</si>
  <si>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</si>
  <si>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</si>
  <si>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</si>
  <si>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</si>
  <si>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</si>
  <si>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</si>
  <si>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</si>
  <si>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</si>
  <si>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</si>
  <si>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</si>
  <si>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</si>
  <si>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</si>
  <si>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</si>
  <si>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</si>
  <si>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</si>
  <si>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</si>
  <si>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</si>
  <si>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</si>
  <si>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</si>
  <si>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</si>
  <si>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</si>
  <si>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</si>
  <si>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</si>
  <si>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</si>
  <si>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</si>
  <si>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</si>
  <si>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</si>
  <si>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</si>
  <si>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</si>
  <si>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</si>
  <si>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</si>
  <si>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</si>
  <si>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</si>
  <si>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</si>
  <si>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</si>
  <si>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</si>
  <si>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</si>
  <si>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</si>
  <si>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</si>
  <si>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</si>
  <si>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</si>
  <si>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</si>
  <si>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</si>
  <si>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</si>
  <si>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</si>
  <si>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</si>
  <si>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</si>
  <si>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</si>
  <si>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</si>
  <si>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</si>
  <si>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</si>
  <si>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</si>
  <si>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</si>
  <si>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</si>
  <si>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</si>
  <si>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</si>
  <si>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</si>
  <si>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</si>
  <si>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</si>
  <si>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</si>
  <si>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</si>
  <si>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</si>
  <si>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</si>
  <si>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</si>
  <si>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</si>
  <si>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</si>
  <si>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</si>
  <si>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</si>
  <si>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</si>
  <si>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</si>
  <si>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</si>
  <si>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</si>
  <si>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</si>
  <si>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</si>
  <si>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</si>
  <si>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</si>
  <si>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</si>
  <si>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</si>
  <si>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</si>
  <si>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</si>
  <si>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</si>
  <si>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</si>
  <si>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</si>
  <si>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</si>
  <si>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</si>
  <si>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</si>
  <si>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</si>
  <si>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</si>
  <si>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</si>
  <si>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</si>
  <si>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</si>
  <si>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</si>
  <si>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</si>
  <si>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</si>
  <si>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</si>
  <si>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</si>
  <si>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</si>
  <si>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</si>
  <si>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</si>
  <si>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</si>
  <si>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</si>
  <si>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</si>
  <si>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</si>
  <si>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</si>
  <si>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</si>
  <si>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</si>
  <si>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</si>
  <si>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</si>
  <si>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</si>
  <si>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</si>
  <si>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</si>
  <si>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</si>
  <si>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</si>
  <si>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</si>
  <si>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</si>
  <si>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</si>
  <si>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</si>
  <si>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</si>
  <si>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</si>
  <si>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</si>
  <si>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</si>
  <si>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</si>
  <si>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</si>
  <si>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</si>
  <si>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</si>
  <si>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</si>
  <si>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</si>
  <si>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</si>
  <si>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</si>
  <si>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</si>
  <si>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</si>
  <si>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</si>
  <si>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</si>
  <si>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</si>
  <si>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</si>
  <si>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</si>
  <si>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</si>
  <si>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</si>
  <si>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</si>
  <si>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</si>
  <si>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</si>
  <si>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</si>
  <si>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</si>
  <si>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</si>
  <si>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</si>
  <si>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</si>
  <si>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</si>
  <si>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</si>
  <si>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</si>
  <si>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</si>
  <si>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</si>
  <si>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</si>
  <si>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</si>
  <si>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</si>
  <si>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</si>
  <si>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</si>
  <si>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</si>
  <si>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</si>
  <si>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</si>
  <si>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</si>
  <si>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</si>
  <si>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</si>
  <si>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</si>
  <si>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</si>
  <si>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</si>
  <si>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</si>
  <si>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</si>
  <si>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</si>
  <si>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</si>
  <si>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</si>
  <si>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</si>
  <si>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</si>
  <si>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</si>
  <si>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</si>
  <si>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</si>
  <si>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</si>
  <si>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</si>
  <si>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</si>
  <si>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</si>
  <si>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</si>
  <si>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</si>
  <si>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</si>
  <si>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</si>
  <si>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</si>
  <si>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</si>
  <si>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</si>
  <si>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</si>
  <si>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</si>
  <si>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</si>
  <si>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</si>
  <si>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</si>
  <si>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</si>
  <si>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</si>
  <si>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</si>
  <si>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</si>
  <si>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</si>
  <si>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</si>
  <si>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</si>
  <si>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</si>
  <si>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</si>
  <si>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</si>
  <si>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</si>
  <si>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</si>
  <si>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</si>
  <si>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</si>
  <si>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</si>
  <si>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</si>
  <si>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</si>
  <si>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</si>
  <si>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</si>
  <si>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</si>
  <si>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</si>
  <si>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</si>
  <si>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</si>
  <si>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</si>
  <si>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</si>
  <si>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</si>
  <si>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</si>
  <si>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</si>
  <si>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</si>
  <si>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</si>
  <si>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</si>
  <si>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</si>
  <si>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</si>
  <si>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</si>
  <si>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</si>
  <si>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</si>
  <si>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</si>
  <si>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</si>
  <si>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</si>
  <si>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</si>
  <si>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</si>
  <si>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</si>
  <si>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</si>
  <si>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</si>
  <si>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</si>
  <si>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</si>
  <si>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</si>
  <si>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</si>
  <si>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</si>
  <si>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</si>
  <si>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</si>
  <si>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</si>
  <si>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</si>
  <si>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</si>
  <si>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</si>
  <si>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</si>
  <si>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</si>
  <si>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</si>
  <si>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</si>
  <si>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</si>
  <si>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</si>
  <si>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</si>
  <si>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</si>
  <si>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</si>
  <si>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</si>
  <si>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</si>
  <si>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</si>
  <si>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</si>
  <si>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</si>
  <si>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</si>
  <si>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</si>
  <si>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</si>
  <si>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</si>
  <si>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</si>
  <si>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</si>
  <si>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</si>
  <si>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</si>
  <si>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</si>
  <si>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</si>
  <si>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</si>
  <si>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</si>
  <si>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</si>
  <si>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</si>
  <si>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</si>
  <si>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</si>
  <si>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</si>
  <si>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</si>
  <si>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</si>
  <si>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</si>
  <si>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</si>
  <si>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</si>
  <si>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</si>
  <si>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</si>
  <si>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</si>
  <si>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</si>
  <si>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</si>
  <si>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</si>
  <si>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</si>
  <si>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</si>
  <si>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</si>
  <si>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</si>
  <si>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</si>
  <si>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</si>
  <si>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</si>
  <si>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</si>
  <si>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</si>
  <si>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</si>
  <si>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</si>
  <si>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</si>
  <si>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</si>
  <si>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</si>
  <si>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</si>
  <si>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</si>
  <si>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</si>
  <si>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</si>
  <si>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</si>
  <si>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</si>
  <si>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</si>
  <si>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</si>
  <si>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</si>
  <si>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</si>
  <si>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</si>
  <si>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</si>
  <si>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</si>
  <si>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</si>
  <si>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</si>
  <si>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</si>
  <si>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</si>
  <si>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</si>
  <si>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</si>
  <si>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</si>
  <si>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</si>
  <si>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</si>
  <si>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</si>
  <si>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</si>
  <si>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</si>
  <si>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</si>
  <si>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</si>
  <si>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</si>
  <si>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</si>
  <si>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</si>
  <si>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</si>
  <si>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</si>
  <si>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</si>
  <si>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</si>
  <si>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</si>
  <si>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</si>
  <si>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</si>
  <si>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</si>
  <si>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</si>
  <si>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</si>
  <si>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</si>
  <si>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</si>
  <si>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</si>
  <si>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</si>
  <si>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</si>
  <si>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</si>
  <si>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</si>
  <si>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</si>
  <si>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</si>
  <si>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</si>
  <si>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</si>
  <si>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</si>
  <si>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</si>
  <si>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</si>
  <si>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</si>
  <si>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</si>
  <si>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</si>
  <si>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</si>
  <si>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</si>
  <si>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</si>
  <si>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</si>
  <si>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</si>
  <si>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</si>
  <si>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</si>
  <si>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</si>
  <si>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</si>
  <si>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</si>
  <si>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</si>
  <si>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</si>
  <si>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</si>
  <si>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</si>
  <si>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</si>
  <si>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</si>
  <si>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</si>
  <si>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</si>
  <si>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</si>
  <si>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        EATON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</si>
</sst>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1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B679" sqref="B67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159</v>
      </c>
      <c r="C2" s="21">
        <v>159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49899.94</v>
      </c>
      <c r="G9" s="18"/>
      <c r="H9" s="18"/>
      <c r="I9" s="18"/>
      <c r="J9" s="67">
        <f>SUM(I440)</f>
        <v>262163.76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73445.72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649.83000000000004</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123995.49</v>
      </c>
      <c r="G19" s="41">
        <f>SUM(G9:G18)</f>
        <v>0</v>
      </c>
      <c r="H19" s="41">
        <f>SUM(H9:H18)</f>
        <v>0</v>
      </c>
      <c r="I19" s="41">
        <f>SUM(I9:I18)</f>
        <v>0</v>
      </c>
      <c r="J19" s="41">
        <f>SUM(J9:J18)</f>
        <v>262163.76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73445.72</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4521.42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4521.42</v>
      </c>
      <c r="G32" s="41">
        <f>SUM(G22:G31)</f>
        <v>0</v>
      </c>
      <c r="H32" s="41">
        <f>SUM(H22:H31)</f>
        <v>0</v>
      </c>
      <c r="I32" s="41">
        <f>SUM(I22:I31)</f>
        <v>0</v>
      </c>
      <c r="J32" s="41">
        <f>SUM(J22:J31)</f>
        <v>73445.72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73000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21026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188718.03999999998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98448.07-73000</f>
        <v>25448.070000000007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119474.07</v>
      </c>
      <c r="G51" s="41">
        <f>SUM(G35:G50)</f>
        <v>0</v>
      </c>
      <c r="H51" s="41">
        <f>SUM(H35:H50)</f>
        <v>0</v>
      </c>
      <c r="I51" s="41">
        <f>SUM(I35:I50)</f>
        <v>0</v>
      </c>
      <c r="J51" s="41">
        <f>SUM(J35:J50)</f>
        <v>188718.03999999998</v>
      </c>
      <c r="K51" s="45" t="s">
        <v>288</v>
      </c>
      <c r="L51" s="45" t="s">
        <v>288</v>
      </c>
      <c r="N51" s="264"/>
    </row>
    <row r="52" spans="1:14" s="3" customFormat="1" ht="12.2" customHeight="1" thickTop="1" x14ac:dyDescent="0.15">
      <c r="A52" s="38" t="s">
        <v>455</v>
      </c>
      <c r="B52" s="39" t="s">
        <v>289</v>
      </c>
      <c r="C52" s="6">
        <v>37</v>
      </c>
      <c r="D52" s="39" t="s">
        <v>653</v>
      </c>
      <c r="E52" s="39"/>
      <c r="F52" s="41">
        <f>F51+F32</f>
        <v>123995.49</v>
      </c>
      <c r="G52" s="41">
        <f>G51+G32</f>
        <v>0</v>
      </c>
      <c r="H52" s="41">
        <f>H51+H32</f>
        <v>0</v>
      </c>
      <c r="I52" s="41">
        <f>I51+I32</f>
        <v>0</v>
      </c>
      <c r="J52" s="41">
        <f>J51+J32</f>
        <v>262163.76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613101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613101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98.12</v>
      </c>
      <c r="G96" s="18"/>
      <c r="H96" s="18"/>
      <c r="I96" s="18"/>
      <c r="J96" s="18">
        <v>394.74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1009.92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1108.04</v>
      </c>
      <c r="G111" s="41">
        <f>SUM(G96:G110)</f>
        <v>0</v>
      </c>
      <c r="H111" s="41">
        <f>SUM(H96:H110)</f>
        <v>0</v>
      </c>
      <c r="I111" s="41">
        <f>SUM(I96:I110)</f>
        <v>0</v>
      </c>
      <c r="J111" s="41">
        <f>SUM(J96:J110)</f>
        <v>394.74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614209.04</v>
      </c>
      <c r="G112" s="41">
        <f>G60+G111</f>
        <v>0</v>
      </c>
      <c r="H112" s="41">
        <f>H60+H79+H94+H111</f>
        <v>0</v>
      </c>
      <c r="I112" s="41">
        <f>I60+I111</f>
        <v>0</v>
      </c>
      <c r="J112" s="41">
        <f>J60+J111</f>
        <v>394.74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227961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227961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227961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272.04000000000002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5200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272.04000000000002</v>
      </c>
      <c r="G163" s="41">
        <f>SUM(G150:G162)</f>
        <v>0</v>
      </c>
      <c r="H163" s="41">
        <f>SUM(H150:H162)</f>
        <v>5200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272.04000000000002</v>
      </c>
      <c r="G170" s="41">
        <f>G147+G163+SUM(G164:G169)</f>
        <v>0</v>
      </c>
      <c r="H170" s="41">
        <f>H147+H163+SUM(H164:H169)</f>
        <v>5200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842442.08000000007</v>
      </c>
      <c r="G194" s="47">
        <f>G112+G140+G170+G193</f>
        <v>0</v>
      </c>
      <c r="H194" s="47">
        <f>H112+H140+H170+H193</f>
        <v>5200</v>
      </c>
      <c r="I194" s="47">
        <f>I112+I140+I170+I193</f>
        <v>0</v>
      </c>
      <c r="J194" s="47">
        <f>J112+J140+J193</f>
        <v>25394.74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392734</v>
      </c>
      <c r="I198" s="18"/>
      <c r="J198" s="18"/>
      <c r="K198" s="18"/>
      <c r="L198" s="19">
        <f>SUM(F198:K198)</f>
        <v>392734</v>
      </c>
      <c r="M198" s="8"/>
      <c r="N198" s="266"/>
    </row>
    <row r="199" spans="1:14" s="3" customFormat="1" ht="12.2" customHeight="1" x14ac:dyDescent="0.15">
      <c r="A199" s="1" t="s">
        <v>439</v>
      </c>
      <c r="B199" s="2" t="s">
        <v>341</v>
      </c>
      <c r="C199" s="2" t="s">
        <v>291</v>
      </c>
      <c r="D199" s="2" t="s">
        <v>431</v>
      </c>
      <c r="E199" s="6">
        <v>1200</v>
      </c>
      <c r="F199" s="18"/>
      <c r="G199" s="18"/>
      <c r="H199" s="18">
        <v>13121.75</v>
      </c>
      <c r="I199" s="18"/>
      <c r="J199" s="18"/>
      <c r="K199" s="18"/>
      <c r="L199" s="19">
        <f>SUM(F199:K199)</f>
        <v>13121.75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3260</v>
      </c>
      <c r="I203" s="18"/>
      <c r="J203" s="18"/>
      <c r="K203" s="18"/>
      <c r="L203" s="19">
        <f t="shared" ref="L203:L209" si="0">SUM(F203:K203)</f>
        <v>3260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960</v>
      </c>
      <c r="G205" s="18"/>
      <c r="H205" s="18">
        <v>19359.71</v>
      </c>
      <c r="I205" s="18"/>
      <c r="J205" s="18"/>
      <c r="K205" s="18"/>
      <c r="L205" s="19">
        <f t="shared" si="0"/>
        <v>20319.71</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v>16452.28</v>
      </c>
      <c r="G209" s="18">
        <v>8112.85</v>
      </c>
      <c r="H209" s="18">
        <v>1569</v>
      </c>
      <c r="I209" s="18">
        <v>2671.37</v>
      </c>
      <c r="J209" s="18"/>
      <c r="K209" s="18"/>
      <c r="L209" s="19">
        <f t="shared" si="0"/>
        <v>28805.499999999996</v>
      </c>
      <c r="M209" s="8"/>
      <c r="N209" s="266"/>
    </row>
    <row r="210" spans="1:14" s="3" customFormat="1" ht="12.2" customHeight="1" x14ac:dyDescent="0.15">
      <c r="A210" s="1" t="s">
        <v>449</v>
      </c>
      <c r="B210" s="2" t="s">
        <v>341</v>
      </c>
      <c r="C210" s="2" t="s">
        <v>343</v>
      </c>
      <c r="D210" s="2" t="s">
        <v>431</v>
      </c>
      <c r="E210" s="6">
        <v>2800</v>
      </c>
      <c r="F210" s="18"/>
      <c r="G210" s="18"/>
      <c r="H210" s="18">
        <v>114</v>
      </c>
      <c r="I210" s="18"/>
      <c r="J210" s="18"/>
      <c r="K210" s="18"/>
      <c r="L210" s="19">
        <f>SUM(F210:K210)</f>
        <v>114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17412.28</v>
      </c>
      <c r="G212" s="41">
        <f t="shared" si="1"/>
        <v>8112.85</v>
      </c>
      <c r="H212" s="41">
        <f t="shared" si="1"/>
        <v>430158.46</v>
      </c>
      <c r="I212" s="41">
        <f t="shared" si="1"/>
        <v>2671.37</v>
      </c>
      <c r="J212" s="41">
        <f t="shared" si="1"/>
        <v>0</v>
      </c>
      <c r="K212" s="41">
        <f t="shared" si="1"/>
        <v>0</v>
      </c>
      <c r="L212" s="41">
        <f t="shared" si="1"/>
        <v>458354.96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131207</v>
      </c>
      <c r="I216" s="18"/>
      <c r="J216" s="18"/>
      <c r="K216" s="18"/>
      <c r="L216" s="19">
        <f>SUM(F216:K216)</f>
        <v>131207</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304</v>
      </c>
      <c r="G223" s="18"/>
      <c r="H223" s="18">
        <v>6130.58</v>
      </c>
      <c r="I223" s="18"/>
      <c r="J223" s="18"/>
      <c r="K223" s="18"/>
      <c r="L223" s="19">
        <f t="shared" si="2"/>
        <v>6434.58</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v>5209.8999999999996</v>
      </c>
      <c r="G227" s="18">
        <v>2569.0700000000002</v>
      </c>
      <c r="H227" s="18">
        <v>496.85</v>
      </c>
      <c r="I227" s="18">
        <v>845.94</v>
      </c>
      <c r="J227" s="18"/>
      <c r="K227" s="18"/>
      <c r="L227" s="19">
        <f t="shared" si="2"/>
        <v>9121.76</v>
      </c>
      <c r="M227" s="8"/>
      <c r="N227" s="266"/>
    </row>
    <row r="228" spans="1:14" s="3" customFormat="1" ht="12.2" customHeight="1" x14ac:dyDescent="0.15">
      <c r="A228" s="1" t="s">
        <v>449</v>
      </c>
      <c r="B228" s="2" t="s">
        <v>346</v>
      </c>
      <c r="C228" s="2" t="s">
        <v>343</v>
      </c>
      <c r="D228" s="2" t="s">
        <v>431</v>
      </c>
      <c r="E228" s="6">
        <v>2800</v>
      </c>
      <c r="F228" s="18"/>
      <c r="G228" s="18"/>
      <c r="H228" s="18">
        <v>36.1</v>
      </c>
      <c r="I228" s="18"/>
      <c r="J228" s="18"/>
      <c r="K228" s="18"/>
      <c r="L228" s="19">
        <f>SUM(F228:K228)</f>
        <v>36.1</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5513.9</v>
      </c>
      <c r="G230" s="41">
        <f>SUM(G216:G229)</f>
        <v>2569.0700000000002</v>
      </c>
      <c r="H230" s="41">
        <f>SUM(H216:H229)</f>
        <v>137870.53</v>
      </c>
      <c r="I230" s="41">
        <f>SUM(I216:I229)</f>
        <v>845.94</v>
      </c>
      <c r="J230" s="41">
        <f>SUM(J216:J229)</f>
        <v>0</v>
      </c>
      <c r="K230" s="41">
        <f t="shared" si="3"/>
        <v>0</v>
      </c>
      <c r="L230" s="41">
        <f t="shared" si="3"/>
        <v>146799.44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192310</v>
      </c>
      <c r="I234" s="18"/>
      <c r="J234" s="18"/>
      <c r="K234" s="18"/>
      <c r="L234" s="19">
        <f>SUM(F234:K234)</f>
        <v>192310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336</v>
      </c>
      <c r="G241" s="18"/>
      <c r="H241" s="18">
        <v>6775.9</v>
      </c>
      <c r="I241" s="18"/>
      <c r="J241" s="18"/>
      <c r="K241" s="18"/>
      <c r="L241" s="19">
        <f t="shared" si="4"/>
        <v>7111.9</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5758.29</v>
      </c>
      <c r="G245" s="18">
        <v>2839.49</v>
      </c>
      <c r="H245" s="18">
        <v>549.15</v>
      </c>
      <c r="I245" s="18">
        <v>934.97</v>
      </c>
      <c r="J245" s="18"/>
      <c r="K245" s="18"/>
      <c r="L245" s="19">
        <f t="shared" si="4"/>
        <v>10081.899999999998</v>
      </c>
      <c r="M245" s="8"/>
      <c r="N245" s="266"/>
    </row>
    <row r="246" spans="1:14" s="3" customFormat="1" ht="12.2" customHeight="1" x14ac:dyDescent="0.15">
      <c r="A246" s="1" t="s">
        <v>449</v>
      </c>
      <c r="B246" s="2" t="s">
        <v>350</v>
      </c>
      <c r="C246" s="2" t="s">
        <v>343</v>
      </c>
      <c r="D246" s="2" t="s">
        <v>431</v>
      </c>
      <c r="E246" s="6">
        <v>2800</v>
      </c>
      <c r="F246" s="18"/>
      <c r="G246" s="18"/>
      <c r="H246" s="18">
        <v>39.9</v>
      </c>
      <c r="I246" s="18"/>
      <c r="J246" s="18"/>
      <c r="K246" s="18"/>
      <c r="L246" s="19">
        <f>SUM(F246:K246)</f>
        <v>39.9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6094.29</v>
      </c>
      <c r="G248" s="41">
        <f t="shared" si="5"/>
        <v>2839.49</v>
      </c>
      <c r="H248" s="41">
        <f t="shared" si="5"/>
        <v>199674.94999999998</v>
      </c>
      <c r="I248" s="41">
        <f t="shared" si="5"/>
        <v>934.97</v>
      </c>
      <c r="J248" s="41">
        <f t="shared" si="5"/>
        <v>0</v>
      </c>
      <c r="K248" s="41">
        <f t="shared" si="5"/>
        <v>0</v>
      </c>
      <c r="L248" s="41">
        <f t="shared" si="5"/>
        <v>209543.69999999998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29020.47</v>
      </c>
      <c r="G258" s="41">
        <f t="shared" si="8"/>
        <v>13521.41</v>
      </c>
      <c r="H258" s="41">
        <f t="shared" si="8"/>
        <v>767703.94</v>
      </c>
      <c r="I258" s="41">
        <f t="shared" si="8"/>
        <v>4452.28</v>
      </c>
      <c r="J258" s="41">
        <f t="shared" si="8"/>
        <v>0</v>
      </c>
      <c r="K258" s="41">
        <f t="shared" si="8"/>
        <v>0</v>
      </c>
      <c r="L258" s="41">
        <f t="shared" si="8"/>
        <v>814698.1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25000</v>
      </c>
      <c r="L271" s="41">
        <f t="shared" si="9"/>
        <v>25000</v>
      </c>
      <c r="M271" s="8"/>
      <c r="N271" s="266"/>
    </row>
    <row r="272" spans="1:14" s="34" customFormat="1" ht="12.2" customHeight="1" thickTop="1" x14ac:dyDescent="0.2">
      <c r="A272" s="43" t="s">
        <v>464</v>
      </c>
      <c r="B272" s="40">
        <v>10</v>
      </c>
      <c r="C272" s="40">
        <v>18</v>
      </c>
      <c r="D272" s="39" t="s">
        <v>431</v>
      </c>
      <c r="E272" s="40"/>
      <c r="F272" s="42">
        <f t="shared" ref="F272:L272" si="11">F258+F271</f>
        <v>29020.47</v>
      </c>
      <c r="G272" s="42">
        <f t="shared" si="11"/>
        <v>13521.41</v>
      </c>
      <c r="H272" s="42">
        <f t="shared" si="11"/>
        <v>767703.94</v>
      </c>
      <c r="I272" s="42">
        <f t="shared" si="11"/>
        <v>4452.28</v>
      </c>
      <c r="J272" s="42">
        <f t="shared" si="11"/>
        <v>0</v>
      </c>
      <c r="K272" s="42">
        <f t="shared" si="11"/>
        <v>25000</v>
      </c>
      <c r="L272" s="42">
        <f t="shared" si="11"/>
        <v>839698.1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v>2826.3</v>
      </c>
      <c r="K277" s="18"/>
      <c r="L277" s="19">
        <f>SUM(F277:K277)</f>
        <v>2826.3</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v>293.7</v>
      </c>
      <c r="J288" s="18"/>
      <c r="K288" s="18"/>
      <c r="L288" s="19">
        <f t="shared" si="12"/>
        <v>293.7</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293.7</v>
      </c>
      <c r="J291" s="42">
        <f t="shared" si="13"/>
        <v>2826.3</v>
      </c>
      <c r="K291" s="42">
        <f t="shared" si="13"/>
        <v>0</v>
      </c>
      <c r="L291" s="41">
        <f t="shared" si="13"/>
        <v>3120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v>895</v>
      </c>
      <c r="K296" s="18"/>
      <c r="L296" s="19">
        <f>SUM(F296:K296)</f>
        <v>895</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v>93</v>
      </c>
      <c r="J307" s="18"/>
      <c r="K307" s="18"/>
      <c r="L307" s="19">
        <f t="shared" si="14"/>
        <v>93</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93</v>
      </c>
      <c r="J310" s="42">
        <f t="shared" si="15"/>
        <v>895</v>
      </c>
      <c r="K310" s="42">
        <f t="shared" si="15"/>
        <v>0</v>
      </c>
      <c r="L310" s="41">
        <f t="shared" si="15"/>
        <v>988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v>989.2</v>
      </c>
      <c r="K315" s="18"/>
      <c r="L315" s="19">
        <f>SUM(F315:K315)</f>
        <v>989.2</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v>102.8</v>
      </c>
      <c r="J326" s="18"/>
      <c r="K326" s="18"/>
      <c r="L326" s="19">
        <f t="shared" si="16"/>
        <v>102.8</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102.8</v>
      </c>
      <c r="J329" s="42">
        <f t="shared" si="17"/>
        <v>989.2</v>
      </c>
      <c r="K329" s="42">
        <f t="shared" si="17"/>
        <v>0</v>
      </c>
      <c r="L329" s="41">
        <f t="shared" si="17"/>
        <v>1092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489.5</v>
      </c>
      <c r="J339" s="41">
        <f t="shared" si="20"/>
        <v>4710.5</v>
      </c>
      <c r="K339" s="41">
        <f t="shared" si="20"/>
        <v>0</v>
      </c>
      <c r="L339" s="41">
        <f t="shared" si="20"/>
        <v>5200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489.5</v>
      </c>
      <c r="J353" s="41">
        <f>J339</f>
        <v>4710.5</v>
      </c>
      <c r="K353" s="47">
        <f>K339+K352</f>
        <v>0</v>
      </c>
      <c r="L353" s="41">
        <f>L339+L352</f>
        <v>5200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15000</v>
      </c>
      <c r="H391" s="18">
        <v>119.03</v>
      </c>
      <c r="I391" s="18"/>
      <c r="J391" s="24" t="s">
        <v>288</v>
      </c>
      <c r="K391" s="24" t="s">
        <v>288</v>
      </c>
      <c r="L391" s="56">
        <f t="shared" si="25"/>
        <v>15119.03</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15000</v>
      </c>
      <c r="H394" s="139">
        <f>SUM(H388:H393)</f>
        <v>119.03</v>
      </c>
      <c r="I394" s="65">
        <f>SUM(I388:I393)</f>
        <v>0</v>
      </c>
      <c r="J394" s="45" t="s">
        <v>288</v>
      </c>
      <c r="K394" s="45" t="s">
        <v>288</v>
      </c>
      <c r="L394" s="47">
        <f>SUM(L388:L393)</f>
        <v>15119.03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10000</v>
      </c>
      <c r="H398" s="18">
        <v>158.6</v>
      </c>
      <c r="I398" s="18"/>
      <c r="J398" s="24" t="s">
        <v>288</v>
      </c>
      <c r="K398" s="24" t="s">
        <v>288</v>
      </c>
      <c r="L398" s="56">
        <f t="shared" si="26"/>
        <v>10158.6</v>
      </c>
      <c r="M398" s="8"/>
      <c r="N398" s="266"/>
    </row>
    <row r="399" spans="1:14" s="3" customFormat="1" ht="12.2" customHeight="1" x14ac:dyDescent="0.15">
      <c r="A399" s="79" t="s">
        <v>558</v>
      </c>
      <c r="B399" s="2" t="s">
        <v>381</v>
      </c>
      <c r="C399" s="6">
        <v>11</v>
      </c>
      <c r="D399" s="2" t="s">
        <v>432</v>
      </c>
      <c r="E399" s="6"/>
      <c r="F399" s="18"/>
      <c r="G399" s="18"/>
      <c r="H399" s="18">
        <v>117.11</v>
      </c>
      <c r="I399" s="18"/>
      <c r="J399" s="24" t="s">
        <v>288</v>
      </c>
      <c r="K399" s="24" t="s">
        <v>288</v>
      </c>
      <c r="L399" s="56">
        <f t="shared" si="26"/>
        <v>117.11</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275.70999999999998</v>
      </c>
      <c r="I402" s="47">
        <f>SUM(I396:I401)</f>
        <v>0</v>
      </c>
      <c r="J402" s="45" t="s">
        <v>288</v>
      </c>
      <c r="K402" s="45" t="s">
        <v>288</v>
      </c>
      <c r="L402" s="47">
        <f>SUM(L396:L401)</f>
        <v>10275.710000000001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394.74</v>
      </c>
      <c r="I409" s="47">
        <f>I394+I402+I408</f>
        <v>0</v>
      </c>
      <c r="J409" s="24" t="s">
        <v>288</v>
      </c>
      <c r="K409" s="24" t="s">
        <v>288</v>
      </c>
      <c r="L409" s="47">
        <f>L394+L402+L408</f>
        <v>25394.74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83413.14</v>
      </c>
      <c r="G440" s="18">
        <v>178750.62</v>
      </c>
      <c r="H440" s="18"/>
      <c r="I440" s="56">
        <f t="shared" ref="I440:I446" si="33">SUM(F440:H440)</f>
        <v>262163.76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83413.14</v>
      </c>
      <c r="G447" s="13">
        <f>SUM(G440:G446)</f>
        <v>178750.62</v>
      </c>
      <c r="H447" s="13">
        <f>SUM(H440:H446)</f>
        <v>0</v>
      </c>
      <c r="I447" s="13">
        <f>SUM(I440:I446)</f>
        <v>262163.76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73445.72</v>
      </c>
      <c r="H449" s="18"/>
      <c r="I449" s="56">
        <f>SUM(F449:H449)</f>
        <v>73445.72</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73445.72</v>
      </c>
      <c r="H453" s="72">
        <f>SUM(H449:H452)</f>
        <v>0</v>
      </c>
      <c r="I453" s="72">
        <f>SUM(I449:I452)</f>
        <v>73445.72</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83413.14</v>
      </c>
      <c r="G460" s="18">
        <v>105304.9</v>
      </c>
      <c r="H460" s="18"/>
      <c r="I460" s="56">
        <f t="shared" si="34"/>
        <v>188718.03999999998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83413.14</v>
      </c>
      <c r="G461" s="83">
        <f>SUM(G455:G460)</f>
        <v>105304.9</v>
      </c>
      <c r="H461" s="83">
        <f>SUM(H455:H460)</f>
        <v>0</v>
      </c>
      <c r="I461" s="83">
        <f>SUM(I455:I460)</f>
        <v>188718.03999999998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83413.14</v>
      </c>
      <c r="G462" s="42">
        <f>G453+G461</f>
        <v>178750.62</v>
      </c>
      <c r="H462" s="42">
        <f>H453+H461</f>
        <v>0</v>
      </c>
      <c r="I462" s="42">
        <f>I453+I461</f>
        <v>262163.76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43284.37</v>
      </c>
      <c r="G466" s="18"/>
      <c r="H466" s="18">
        <v>0</v>
      </c>
      <c r="I466" s="18"/>
      <c r="J466" s="18">
        <v>236769.02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842442.08</v>
      </c>
      <c r="G469" s="18"/>
      <c r="H469" s="18">
        <v>5200</v>
      </c>
      <c r="I469" s="18"/>
      <c r="J469" s="18">
        <v>25394.74</v>
      </c>
      <c r="K469" s="24" t="s">
        <v>288</v>
      </c>
      <c r="L469" s="24" t="s">
        <v>288</v>
      </c>
      <c r="N469" s="265"/>
    </row>
    <row r="470" spans="1:14" s="52" customFormat="1" ht="12.2" customHeight="1" x14ac:dyDescent="0.2">
      <c r="A470" s="93" t="s">
        <v>611</v>
      </c>
      <c r="B470" s="75">
        <v>19</v>
      </c>
      <c r="C470" s="80">
        <v>3</v>
      </c>
      <c r="D470" s="2" t="s">
        <v>432</v>
      </c>
      <c r="E470" s="80"/>
      <c r="F470" s="18">
        <v>73445.72</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915887.79999999993</v>
      </c>
      <c r="G471" s="53">
        <f>SUM(G469:G470)</f>
        <v>0</v>
      </c>
      <c r="H471" s="53">
        <f>SUM(H469:H470)</f>
        <v>5200</v>
      </c>
      <c r="I471" s="53">
        <f>SUM(I469:I470)</f>
        <v>0</v>
      </c>
      <c r="J471" s="53">
        <f>SUM(J469:J470)</f>
        <v>25394.74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839698.1</v>
      </c>
      <c r="G473" s="18"/>
      <c r="H473" s="18">
        <v>5200</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v>73445.72</v>
      </c>
      <c r="K474" s="24" t="s">
        <v>288</v>
      </c>
      <c r="L474" s="24" t="s">
        <v>288</v>
      </c>
      <c r="N474" s="265"/>
    </row>
    <row r="475" spans="1:14" s="52" customFormat="1" ht="12.2" customHeight="1" x14ac:dyDescent="0.2">
      <c r="A475" s="92" t="s">
        <v>426</v>
      </c>
      <c r="B475" s="75">
        <v>19</v>
      </c>
      <c r="C475" s="80">
        <v>7</v>
      </c>
      <c r="D475" s="2" t="s">
        <v>432</v>
      </c>
      <c r="E475" s="80"/>
      <c r="F475" s="53">
        <f>SUM(F473:F474)</f>
        <v>839698.1</v>
      </c>
      <c r="G475" s="53">
        <f>SUM(G473:G474)</f>
        <v>0</v>
      </c>
      <c r="H475" s="53">
        <f>SUM(H473:H474)</f>
        <v>5200</v>
      </c>
      <c r="I475" s="53">
        <f>SUM(I473:I474)</f>
        <v>0</v>
      </c>
      <c r="J475" s="53">
        <f>SUM(J473:J474)</f>
        <v>73445.72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119474.06999999995</v>
      </c>
      <c r="G477" s="53">
        <f>(G466+G471)- G475</f>
        <v>0</v>
      </c>
      <c r="H477" s="53">
        <f>(H466+H471)- H475</f>
        <v>0</v>
      </c>
      <c r="I477" s="53">
        <f>(I466+I471)- I475</f>
        <v>0</v>
      </c>
      <c r="J477" s="53">
        <f>(J466+J471)- J475</f>
        <v>188718.04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13121.75</v>
      </c>
      <c r="I522" s="18"/>
      <c r="J522" s="18"/>
      <c r="K522" s="18"/>
      <c r="L522" s="88">
        <f>SUM(F522:K522)</f>
        <v>13121.75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13121.75</v>
      </c>
      <c r="I525" s="108">
        <f t="shared" si="36"/>
        <v>0</v>
      </c>
      <c r="J525" s="108">
        <f t="shared" si="36"/>
        <v>0</v>
      </c>
      <c r="K525" s="108">
        <f t="shared" si="36"/>
        <v>0</v>
      </c>
      <c r="L525" s="89">
        <f t="shared" si="36"/>
        <v>13121.75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3260</v>
      </c>
      <c r="I527" s="18"/>
      <c r="J527" s="18"/>
      <c r="K527" s="18"/>
      <c r="L527" s="88">
        <f>SUM(F527:K527)</f>
        <v>3260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3260</v>
      </c>
      <c r="I530" s="89">
        <f t="shared" si="37"/>
        <v>0</v>
      </c>
      <c r="J530" s="89">
        <f t="shared" si="37"/>
        <v>0</v>
      </c>
      <c r="K530" s="89">
        <f t="shared" si="37"/>
        <v>0</v>
      </c>
      <c r="L530" s="89">
        <f t="shared" si="37"/>
        <v>3260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2799.83</v>
      </c>
      <c r="I532" s="18"/>
      <c r="J532" s="18"/>
      <c r="K532" s="18"/>
      <c r="L532" s="88">
        <f>SUM(F532:K532)</f>
        <v>2799.83</v>
      </c>
      <c r="M532" s="8"/>
      <c r="N532" s="266"/>
    </row>
    <row r="533" spans="1:14" s="3" customFormat="1" ht="12.2" customHeight="1" x14ac:dyDescent="0.15">
      <c r="A533" s="22" t="s">
        <v>634</v>
      </c>
      <c r="B533" s="105">
        <v>21</v>
      </c>
      <c r="C533" s="105">
        <v>10</v>
      </c>
      <c r="D533" s="2" t="s">
        <v>432</v>
      </c>
      <c r="E533" s="105"/>
      <c r="F533" s="18"/>
      <c r="G533" s="18"/>
      <c r="H533" s="18">
        <v>886.62</v>
      </c>
      <c r="I533" s="18"/>
      <c r="J533" s="18"/>
      <c r="K533" s="18"/>
      <c r="L533" s="88">
        <f>SUM(F533:K533)</f>
        <v>886.62</v>
      </c>
      <c r="M533" s="8"/>
      <c r="N533" s="266"/>
    </row>
    <row r="534" spans="1:14" s="3" customFormat="1" ht="12.2" customHeight="1" thickBot="1" x14ac:dyDescent="0.2">
      <c r="A534" s="22" t="s">
        <v>635</v>
      </c>
      <c r="B534" s="105">
        <v>21</v>
      </c>
      <c r="C534" s="105">
        <v>11</v>
      </c>
      <c r="D534" s="2" t="s">
        <v>432</v>
      </c>
      <c r="E534" s="105"/>
      <c r="F534" s="18"/>
      <c r="G534" s="18"/>
      <c r="H534" s="18">
        <v>979.94</v>
      </c>
      <c r="I534" s="18"/>
      <c r="J534" s="18"/>
      <c r="K534" s="18"/>
      <c r="L534" s="88">
        <f>SUM(F534:K534)</f>
        <v>979.94</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4666.3899999999994</v>
      </c>
      <c r="I535" s="89">
        <f t="shared" si="38"/>
        <v>0</v>
      </c>
      <c r="J535" s="89">
        <f t="shared" si="38"/>
        <v>0</v>
      </c>
      <c r="K535" s="89">
        <f t="shared" si="38"/>
        <v>0</v>
      </c>
      <c r="L535" s="89">
        <f t="shared" si="38"/>
        <v>4666.3899999999994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21048.14</v>
      </c>
      <c r="I546" s="89">
        <f t="shared" si="41"/>
        <v>0</v>
      </c>
      <c r="J546" s="89">
        <f t="shared" si="41"/>
        <v>0</v>
      </c>
      <c r="K546" s="89">
        <f t="shared" si="41"/>
        <v>0</v>
      </c>
      <c r="L546" s="89">
        <f t="shared" si="41"/>
        <v>21048.14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13121.75</v>
      </c>
      <c r="G550" s="87">
        <f>L527</f>
        <v>3260</v>
      </c>
      <c r="H550" s="87">
        <f>L532</f>
        <v>2799.83</v>
      </c>
      <c r="I550" s="87">
        <f>L537</f>
        <v>0</v>
      </c>
      <c r="J550" s="87">
        <f>L542</f>
        <v>0</v>
      </c>
      <c r="K550" s="87">
        <f>SUM(F550:J550)</f>
        <v>19181.580000000002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886.62</v>
      </c>
      <c r="I551" s="87">
        <f>L538</f>
        <v>0</v>
      </c>
      <c r="J551" s="87">
        <f>L543</f>
        <v>0</v>
      </c>
      <c r="K551" s="87">
        <f>SUM(F551:J551)</f>
        <v>886.62</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979.94</v>
      </c>
      <c r="I552" s="87">
        <f>L539</f>
        <v>0</v>
      </c>
      <c r="J552" s="87">
        <f>L544</f>
        <v>0</v>
      </c>
      <c r="K552" s="87">
        <f>SUM(F552:J552)</f>
        <v>979.94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13121.75</v>
      </c>
      <c r="G553" s="89">
        <f t="shared" si="42"/>
        <v>3260</v>
      </c>
      <c r="H553" s="89">
        <f t="shared" si="42"/>
        <v>4666.3899999999994</v>
      </c>
      <c r="I553" s="89">
        <f t="shared" si="42"/>
        <v>0</v>
      </c>
      <c r="J553" s="89">
        <f t="shared" si="42"/>
        <v>0</v>
      </c>
      <c r="K553" s="89">
        <f t="shared" si="42"/>
        <v>21048.14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392734</v>
      </c>
      <c r="G576" s="18">
        <v>131207</v>
      </c>
      <c r="H576" s="18">
        <v>192310</v>
      </c>
      <c r="I576" s="87">
        <f>SUM(F576:H576)</f>
        <v>716251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13121.75</v>
      </c>
      <c r="G583" s="18"/>
      <c r="H583" s="18"/>
      <c r="I583" s="87">
        <f t="shared" si="47"/>
        <v>13121.75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28805.5</v>
      </c>
      <c r="I592" s="18">
        <v>9121.76</v>
      </c>
      <c r="J592" s="18">
        <v>10081.9</v>
      </c>
      <c r="K592" s="104">
        <f t="shared" ref="K592:K598" si="48">SUM(H592:J592)</f>
        <v>48009.16</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28805.5</v>
      </c>
      <c r="I599" s="108">
        <f>SUM(I592:I598)</f>
        <v>9121.76</v>
      </c>
      <c r="J599" s="108">
        <f>SUM(J592:J598)</f>
        <v>10081.9</v>
      </c>
      <c r="K599" s="108">
        <f>SUM(K592:K598)</f>
        <v>48009.16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2826.3</v>
      </c>
      <c r="I605" s="18">
        <v>895</v>
      </c>
      <c r="J605" s="18">
        <v>989.2</v>
      </c>
      <c r="K605" s="104">
        <f>SUM(H605:J605)</f>
        <v>4710.5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2826.3</v>
      </c>
      <c r="I606" s="108">
        <f>SUM(I603:I605)</f>
        <v>895</v>
      </c>
      <c r="J606" s="108">
        <f>SUM(J603:J605)</f>
        <v>989.2</v>
      </c>
      <c r="K606" s="108">
        <f>SUM(K603:K605)</f>
        <v>4710.5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123995.49</v>
      </c>
      <c r="H618" s="109">
        <f>SUM(F52)</f>
        <v>123995.49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262163.76</v>
      </c>
      <c r="H622" s="109">
        <f>SUM(J52)</f>
        <v>262163.76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119474.07</v>
      </c>
      <c r="H623" s="109">
        <f>F477</f>
        <v>119474.06999999995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188718.03999999998</v>
      </c>
      <c r="H627" s="109">
        <f>J477</f>
        <v>188718.04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842442.08000000007</v>
      </c>
      <c r="H628" s="104">
        <f>SUM(F469)</f>
        <v>842442.08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5200</v>
      </c>
      <c r="H630" s="104">
        <f>SUM(H469)</f>
        <v>5200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25394.74</v>
      </c>
      <c r="H632" s="104">
        <f>SUM(J469)</f>
        <v>25394.74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839698.1</v>
      </c>
      <c r="H633" s="104">
        <f>SUM(F473)</f>
        <v>839698.1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5200</v>
      </c>
      <c r="H634" s="104">
        <f>SUM(H473)</f>
        <v>5200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25394.74</v>
      </c>
      <c r="H638" s="164">
        <f>SUM(J469)</f>
        <v>25394.74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83413.14</v>
      </c>
      <c r="H640" s="104">
        <f>SUM(F462)</f>
        <v>83413.14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178750.62</v>
      </c>
      <c r="H641" s="104">
        <f>SUM(G462)</f>
        <v>178750.62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262163.76</v>
      </c>
      <c r="H643" s="104">
        <f>SUM(I462)</f>
        <v>262163.76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394.74</v>
      </c>
      <c r="H645" s="104">
        <f>H409</f>
        <v>394.74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25394.74</v>
      </c>
      <c r="H647" s="104">
        <f>L409</f>
        <v>25394.74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48009.16</v>
      </c>
      <c r="H648" s="104">
        <f>L209+L227+L245</f>
        <v>48009.159999999989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4710.5</v>
      </c>
      <c r="H649" s="104">
        <f>(J258+J339)-(J256+J337)</f>
        <v>4710.5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28805.499999999996</v>
      </c>
      <c r="H650" s="104">
        <f>H599</f>
        <v>28805.5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9121.76</v>
      </c>
      <c r="H651" s="104">
        <f>I599</f>
        <v>9121.76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10081.899999999998</v>
      </c>
      <c r="H652" s="104">
        <f>J599</f>
        <v>10081.9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461474.96</v>
      </c>
      <c r="G661" s="19">
        <f>(L230+L310+L360)</f>
        <v>147787.44</v>
      </c>
      <c r="H661" s="19">
        <f>(L248+L329+L361)</f>
        <v>210635.69999999998</v>
      </c>
      <c r="I661" s="19">
        <f>SUM(F661:H661)</f>
        <v>819898.1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29099.199999999997</v>
      </c>
      <c r="G663" s="19">
        <f>(L227+L307)-(J227+J307)</f>
        <v>9214.76</v>
      </c>
      <c r="H663" s="19">
        <f>(L245+L326)-(J245+J326)</f>
        <v>10184.699999999997</v>
      </c>
      <c r="I663" s="19">
        <f>SUM(F663:H663)</f>
        <v>48498.659999999996</v>
      </c>
      <c r="J663"/>
      <c r="K663" s="13"/>
      <c r="L663" s="13"/>
      <c r="M663" s="9"/>
    </row>
    <row r="664" spans="1:13" s="3" customFormat="1" ht="12.2" customHeight="1" x14ac:dyDescent="0.15">
      <c r="A664" s="198" t="s">
        <v>129</v>
      </c>
      <c r="B664" s="169"/>
      <c r="C664" s="169"/>
      <c r="D664" s="169"/>
      <c r="E664" s="169"/>
      <c r="F664" s="199">
        <f>SUM(F576:F588)+SUM(H603:H605)+SUM(L612)</f>
        <v>408682.05</v>
      </c>
      <c r="G664" s="199">
        <f>SUM(G576:G588)+SUM(I603:I605)+L613</f>
        <v>132102</v>
      </c>
      <c r="H664" s="199">
        <f>SUM(H576:H588)+SUM(J603:J605)+L614</f>
        <v>193299.20000000001</v>
      </c>
      <c r="I664" s="19">
        <f>SUM(F664:H664)</f>
        <v>734083.25</v>
      </c>
      <c r="J664" s="13"/>
      <c r="K664" s="13"/>
      <c r="L664" s="13"/>
      <c r="M664" s="9"/>
    </row>
    <row r="665" spans="1:13" s="3" customFormat="1" ht="12.2" customHeight="1" x14ac:dyDescent="0.15">
      <c r="A665" s="1" t="s">
        <v>130</v>
      </c>
      <c r="F665" s="19">
        <f>F661-SUM(F662:F664)</f>
        <v>23693.710000000021</v>
      </c>
      <c r="G665" s="19">
        <f>G661-SUM(G662:G664)</f>
        <v>6470.679999999993</v>
      </c>
      <c r="H665" s="19">
        <f>H661-SUM(H662:H664)</f>
        <v>7151.7999999999593</v>
      </c>
      <c r="I665" s="19">
        <f>I661-SUM(I662:I664)</f>
        <v>37316.189999999944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-23693.71</v>
      </c>
      <c r="G670" s="18">
        <v>-6470.68</v>
      </c>
      <c r="H670" s="18">
        <v>-7151.8</v>
      </c>
      <c r="I670" s="19">
        <f>SUM(F670:H670)</f>
        <v>-37316.19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3" zoomScaleNormal="100" workbookViewId="0">
      <selection activeCell="E27" sqref="E27"/>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2" t="s">
        <v>1669</v>
      </c>
      <c r="D2" s="362"/>
      <c r="E2" s="362"/>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5200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489.5</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v>489.5</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4710.5</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4" t="str">
        <f>'DOE25'!A2</f>
        <v xml:space="preserve">        EATON SCHOOL DISTRICT</v>
      </c>
      <c r="C5" s="365"/>
      <c r="D5" s="365"/>
      <c r="E5" s="365"/>
      <c r="F5" s="365"/>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EATON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activeCell="E39" sqref="E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60" t="str">
        <f>'DOE25'!A2</f>
        <v xml:space="preserve">        EATON SCHOOL DISTRICT</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729372.75</v>
      </c>
      <c r="D5" s="20">
        <f>SUM('DOE25'!L198:L201)+SUM('DOE25'!L216:L219)+SUM('DOE25'!L234:L237)-F5-G5-H5</f>
        <v>729372.75</v>
      </c>
      <c r="E5" s="243"/>
      <c r="F5" s="244"/>
      <c r="G5" s="53">
        <f>SUM('DOE25'!J198:J201)+SUM('DOE25'!J216:J219)+SUM('DOE25'!J234:J237)</f>
        <v>0</v>
      </c>
      <c r="H5" s="53">
        <f>SUM('DOE25'!K198:K201)+SUM('DOE25'!K216:K219)+SUM('DOE25'!K234:K237)</f>
        <v>0</v>
      </c>
      <c r="I5" s="256"/>
    </row>
    <row r="6" spans="1:9" x14ac:dyDescent="0.2">
      <c r="A6" s="32">
        <v>2100</v>
      </c>
      <c r="B6" t="s">
        <v>796</v>
      </c>
      <c r="C6" s="275">
        <f t="shared" si="0"/>
        <v>3260</v>
      </c>
      <c r="D6" s="20">
        <f>'DOE25'!L203+'DOE25'!L221+'DOE25'!L239-F6-G6-H6</f>
        <v>3260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23399.010000000002</v>
      </c>
      <c r="D8" s="243"/>
      <c r="E8" s="20">
        <f>'DOE25'!L205+'DOE25'!L223+'DOE25'!L241-F8-G8-H8-D9-D11</f>
        <v>23399.010000000002</v>
      </c>
      <c r="F8" s="244"/>
      <c r="G8" s="53">
        <f>'DOE25'!J205+'DOE25'!J223+'DOE25'!J241</f>
        <v>0</v>
      </c>
      <c r="H8" s="53">
        <f>'DOE25'!K205+'DOE25'!K223+'DOE25'!K241</f>
        <v>0</v>
      </c>
      <c r="I8" s="256"/>
    </row>
    <row r="9" spans="1:9" ht="14.25" x14ac:dyDescent="0.2">
      <c r="A9" s="32">
        <v>2310</v>
      </c>
      <c r="B9" s="185" t="s">
        <v>888</v>
      </c>
      <c r="C9" s="275">
        <f t="shared" si="0"/>
        <v>3042.19</v>
      </c>
      <c r="D9" s="244">
        <v>3042.19</v>
      </c>
      <c r="E9" s="243"/>
      <c r="F9" s="253"/>
      <c r="G9" s="253"/>
      <c r="H9" s="253"/>
      <c r="I9" s="256"/>
    </row>
    <row r="10" spans="1:9" ht="14.25" x14ac:dyDescent="0.2">
      <c r="A10" s="32">
        <v>2317</v>
      </c>
      <c r="B10" s="185" t="s">
        <v>889</v>
      </c>
      <c r="C10" s="275">
        <f t="shared" si="0"/>
        <v>3000</v>
      </c>
      <c r="D10" s="243"/>
      <c r="E10" s="244">
        <v>3000</v>
      </c>
      <c r="F10" s="253"/>
      <c r="G10" s="253"/>
      <c r="H10" s="253"/>
      <c r="I10" s="256"/>
    </row>
    <row r="11" spans="1:9" ht="14.25" x14ac:dyDescent="0.2">
      <c r="A11" s="32">
        <v>2321</v>
      </c>
      <c r="B11" s="185" t="s">
        <v>890</v>
      </c>
      <c r="C11" s="275">
        <f t="shared" si="0"/>
        <v>7424.99</v>
      </c>
      <c r="D11" s="244">
        <v>7424.99</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48009.159999999989</v>
      </c>
      <c r="D15" s="20">
        <f>'DOE25'!L209+'DOE25'!L227+'DOE25'!L245-F15-G15-H15</f>
        <v>48009.159999999989</v>
      </c>
      <c r="E15" s="243"/>
      <c r="F15" s="244"/>
      <c r="G15" s="53">
        <f>'DOE25'!J209+'DOE25'!J227+'DOE25'!J245</f>
        <v>0</v>
      </c>
      <c r="H15" s="53">
        <f>'DOE25'!K209+'DOE25'!K227+'DOE25'!K245</f>
        <v>0</v>
      </c>
      <c r="I15" s="256"/>
    </row>
    <row r="16" spans="1:9" x14ac:dyDescent="0.2">
      <c r="A16" s="32">
        <v>2800</v>
      </c>
      <c r="B16" t="s">
        <v>800</v>
      </c>
      <c r="C16" s="275">
        <f t="shared" si="0"/>
        <v>190</v>
      </c>
      <c r="D16" s="243"/>
      <c r="E16" s="20">
        <f>'DOE25'!L210+'DOE25'!L228+'DOE25'!L246-F16-G16-H16</f>
        <v>190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5200</v>
      </c>
      <c r="D31" s="20">
        <f>'DOE25'!L291+'DOE25'!L310+'DOE25'!L329+'DOE25'!L334+'DOE25'!L335+'DOE25'!L336-F31-G31-H31</f>
        <v>489.5</v>
      </c>
      <c r="E31" s="243"/>
      <c r="F31" s="244"/>
      <c r="G31" s="53">
        <f>'DOE25'!J291+'DOE25'!J310+'DOE25'!J329+'DOE25'!J334+'DOE25'!J335+'DOE25'!J336</f>
        <v>4710.5</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791598.59</v>
      </c>
      <c r="E33" s="245">
        <f t="shared" si="1"/>
        <v>26589.010000000002</v>
      </c>
      <c r="F33" s="245">
        <f t="shared" si="1"/>
        <v>0</v>
      </c>
      <c r="G33" s="245">
        <f t="shared" si="1"/>
        <v>4710.5</v>
      </c>
      <c r="H33" s="245">
        <f t="shared" si="1"/>
        <v>0</v>
      </c>
      <c r="I33" s="245">
        <f t="shared" si="1"/>
        <v>0</v>
      </c>
    </row>
    <row r="35" spans="1:9" ht="12" thickBot="1" x14ac:dyDescent="0.25">
      <c r="B35" s="251" t="s">
        <v>831</v>
      </c>
      <c r="D35" s="252">
        <f>E33</f>
        <v>26589.010000000002</v>
      </c>
      <c r="E35" s="248"/>
      <c r="F35" s="335" t="s">
        <v>1632</v>
      </c>
      <c r="G35" s="336"/>
      <c r="H35" s="336"/>
      <c r="I35" s="336"/>
    </row>
    <row r="36" spans="1:9" ht="12" thickTop="1" x14ac:dyDescent="0.2">
      <c r="B36" t="s">
        <v>810</v>
      </c>
      <c r="D36" s="20">
        <f>D33</f>
        <v>791598.59</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 xml:space="preserve">        EATON SCHOOL DISTRICT</v>
      </c>
      <c r="B2" s="126">
        <f>'DOE25'!B2</f>
        <v>159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461474.96</v>
      </c>
      <c r="G4" s="302">
        <f>'DOE25'!L212+'DOE25'!L291</f>
        <v>461474.96</v>
      </c>
      <c r="H4" s="355">
        <f>F4-G4</f>
        <v>0</v>
      </c>
      <c r="I4" s="373"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458354.96</v>
      </c>
      <c r="E5" s="293">
        <v>3120</v>
      </c>
      <c r="F5" s="306">
        <f>D5+E5</f>
        <v>461474.96</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458354.96</v>
      </c>
      <c r="E21" s="353">
        <f>SUM(E5:E20)</f>
        <v>3120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147787.44</v>
      </c>
      <c r="G24" s="302">
        <f>'DOE25'!L230+'DOE25'!L310</f>
        <v>147787.44</v>
      </c>
      <c r="H24" s="355">
        <f>F24-G24</f>
        <v>0</v>
      </c>
      <c r="I24" s="373"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146799.44</v>
      </c>
      <c r="E25" s="293">
        <v>988</v>
      </c>
      <c r="F25" s="306">
        <f>D25+E25</f>
        <v>147787.44</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146799.44</v>
      </c>
      <c r="E33" s="353">
        <f>SUM(E25:E32)</f>
        <v>988</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210635.7</v>
      </c>
      <c r="G36" s="302">
        <f>'DOE25'!L248+'DOE25'!L329</f>
        <v>210635.69999999998</v>
      </c>
      <c r="H36" s="355">
        <f>IF(AND(D43='DOE25'!L248,'School Level Expenditures'!E43='DOE25'!L329),'School Level Expenditures'!F36-'School Level Expenditures'!G36,"Does not match page 7 or 11 totals!!")</f>
        <v>2.9103830456733704E-11</v>
      </c>
      <c r="I36" s="373" t="str">
        <f>IF(H36=0,"","ISSUES!! Please review page 9 and 13 totals in comparison with total on this page")</f>
        <v>ISSUES!! Please review page 9 and 13 totals in comparison with total on this page</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361">
        <v>209543.7</v>
      </c>
      <c r="E37" s="293">
        <v>1092</v>
      </c>
      <c r="F37" s="306">
        <f t="shared" ref="F37:F42" si="2">D37+E37</f>
        <v>210635.7</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209543.7</v>
      </c>
      <c r="E43" s="354">
        <f>SUM(E37:E42)</f>
        <v>1092</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EATON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49899.94</v>
      </c>
      <c r="D8" s="95">
        <f>'DOE25'!G9</f>
        <v>0</v>
      </c>
      <c r="E8" s="95">
        <f>'DOE25'!H9</f>
        <v>0</v>
      </c>
      <c r="F8" s="95">
        <f>'DOE25'!I9</f>
        <v>0</v>
      </c>
      <c r="G8" s="95">
        <f>'DOE25'!J9</f>
        <v>262163.76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73445.72</v>
      </c>
      <c r="D11" s="95">
        <f>'DOE25'!G12</f>
        <v>0</v>
      </c>
      <c r="E11" s="95">
        <f>'DOE25'!H12</f>
        <v>0</v>
      </c>
      <c r="F11" s="95">
        <f>'DOE25'!I12</f>
        <v>0</v>
      </c>
      <c r="G11" s="95">
        <f>'DOE25'!J12</f>
        <v>0</v>
      </c>
      <c r="H11" s="124"/>
      <c r="I11" s="124"/>
    </row>
    <row r="12" spans="1:9" x14ac:dyDescent="0.2">
      <c r="A12" s="1" t="s">
        <v>143</v>
      </c>
      <c r="B12" s="6">
        <v>140</v>
      </c>
      <c r="C12" s="95">
        <f>'DOE25'!F13</f>
        <v>649.83000000000004</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123995.49</v>
      </c>
      <c r="D18" s="41">
        <f>SUM(D8:D17)</f>
        <v>0</v>
      </c>
      <c r="E18" s="41">
        <f>SUM(E8:E17)</f>
        <v>0</v>
      </c>
      <c r="F18" s="41">
        <f>SUM(F8:F17)</f>
        <v>0</v>
      </c>
      <c r="G18" s="41">
        <f>SUM(G8:G17)</f>
        <v>262163.76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73445.72</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4521.42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4521.42</v>
      </c>
      <c r="D31" s="41">
        <f>SUM(D21:D30)</f>
        <v>0</v>
      </c>
      <c r="E31" s="41">
        <f>SUM(E21:E30)</f>
        <v>0</v>
      </c>
      <c r="F31" s="41">
        <f>SUM(F21:F30)</f>
        <v>0</v>
      </c>
      <c r="G31" s="41">
        <f>SUM(G21:G30)</f>
        <v>73445.72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73000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21026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188718.03999999998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25448.070000000007</v>
      </c>
      <c r="D49" s="24" t="s">
        <v>288</v>
      </c>
      <c r="E49" s="24" t="s">
        <v>288</v>
      </c>
      <c r="F49" s="24" t="s">
        <v>288</v>
      </c>
      <c r="G49" s="24" t="s">
        <v>288</v>
      </c>
      <c r="H49" s="124"/>
      <c r="I49" s="124"/>
    </row>
    <row r="50" spans="1:9" ht="12.75" thickTop="1" thickBot="1" x14ac:dyDescent="0.25">
      <c r="A50" s="38" t="s">
        <v>884</v>
      </c>
      <c r="B50" s="48"/>
      <c r="C50" s="41">
        <f>SUM(C34:C49)</f>
        <v>119474.07</v>
      </c>
      <c r="D50" s="41">
        <f>SUM(D34:D49)</f>
        <v>0</v>
      </c>
      <c r="E50" s="41">
        <f>SUM(E34:E49)</f>
        <v>0</v>
      </c>
      <c r="F50" s="41">
        <f>SUM(F34:F49)</f>
        <v>0</v>
      </c>
      <c r="G50" s="41">
        <f>SUM(G34:G49)</f>
        <v>188718.03999999998</v>
      </c>
      <c r="H50" s="124"/>
      <c r="I50" s="124"/>
    </row>
    <row r="51" spans="1:9" ht="12" thickTop="1" x14ac:dyDescent="0.2">
      <c r="A51" s="38" t="s">
        <v>885</v>
      </c>
      <c r="B51" s="2"/>
      <c r="C51" s="41">
        <f>C50+C31</f>
        <v>123995.49</v>
      </c>
      <c r="D51" s="41">
        <f>D50+D31</f>
        <v>0</v>
      </c>
      <c r="E51" s="41">
        <f>E50+E31</f>
        <v>0</v>
      </c>
      <c r="F51" s="41">
        <f>F50+F31</f>
        <v>0</v>
      </c>
      <c r="G51" s="41">
        <f>G50+G31</f>
        <v>262163.76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613101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98.12</v>
      </c>
      <c r="D59" s="95">
        <f>'DOE25'!G96</f>
        <v>0</v>
      </c>
      <c r="E59" s="95">
        <f>'DOE25'!H96</f>
        <v>0</v>
      </c>
      <c r="F59" s="95">
        <f>'DOE25'!I96</f>
        <v>0</v>
      </c>
      <c r="G59" s="95">
        <f>'DOE25'!J96</f>
        <v>394.74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1009.92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1108.04</v>
      </c>
      <c r="D62" s="130">
        <f>SUM(D57:D61)</f>
        <v>0</v>
      </c>
      <c r="E62" s="130">
        <f>SUM(E57:E61)</f>
        <v>0</v>
      </c>
      <c r="F62" s="130">
        <f>SUM(F57:F61)</f>
        <v>0</v>
      </c>
      <c r="G62" s="130">
        <f>SUM(G57:G61)</f>
        <v>394.74</v>
      </c>
      <c r="H62"/>
      <c r="I62"/>
    </row>
    <row r="63" spans="1:9" ht="12" thickTop="1" x14ac:dyDescent="0.2">
      <c r="A63" s="29" t="s">
        <v>175</v>
      </c>
      <c r="B63" s="6"/>
      <c r="C63" s="22">
        <f>C56+C62</f>
        <v>614209.04</v>
      </c>
      <c r="D63" s="22">
        <f>D56+D62</f>
        <v>0</v>
      </c>
      <c r="E63" s="22">
        <f>E56+E62</f>
        <v>0</v>
      </c>
      <c r="F63" s="22">
        <f>F56+F62</f>
        <v>0</v>
      </c>
      <c r="G63" s="22">
        <f>G56+G62</f>
        <v>394.74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227961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227961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227961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272.04000000000002</v>
      </c>
      <c r="D88" s="333">
        <f>SUM('DOE25'!G153:G162)</f>
        <v>0</v>
      </c>
      <c r="E88" s="333">
        <f>SUM('DOE25'!H153:H162)</f>
        <v>5200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272.04000000000002</v>
      </c>
      <c r="D91" s="131">
        <f>SUM(D85:D90)</f>
        <v>0</v>
      </c>
      <c r="E91" s="131">
        <f>SUM(E85:E90)</f>
        <v>5200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842442.08000000007</v>
      </c>
      <c r="D104" s="86">
        <f>D63+D81+D91+D103</f>
        <v>0</v>
      </c>
      <c r="E104" s="86">
        <f>E63+E81+E91+E103</f>
        <v>5200</v>
      </c>
      <c r="F104" s="86">
        <f>F63+F81+F91+F103</f>
        <v>0</v>
      </c>
      <c r="G104" s="86">
        <f>G63+G81+G103</f>
        <v>25394.74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716251</v>
      </c>
      <c r="D109" s="24" t="s">
        <v>288</v>
      </c>
      <c r="E109" s="95">
        <f>('DOE25'!L277)+('DOE25'!L296)+('DOE25'!L315)</f>
        <v>4710.5</v>
      </c>
      <c r="F109" s="24" t="s">
        <v>288</v>
      </c>
      <c r="G109" s="24" t="s">
        <v>288</v>
      </c>
    </row>
    <row r="110" spans="1:7" x14ac:dyDescent="0.2">
      <c r="A110" t="s">
        <v>198</v>
      </c>
      <c r="B110" s="32" t="s">
        <v>199</v>
      </c>
      <c r="C110" s="95">
        <f>('DOE25'!L199)+('DOE25'!L217)+('DOE25'!L235)</f>
        <v>13121.75</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729372.75</v>
      </c>
      <c r="D115" s="86">
        <f>SUM(D109:D114)</f>
        <v>0</v>
      </c>
      <c r="E115" s="86">
        <f>SUM(E109:E114)</f>
        <v>4710.5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3260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33866.19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48009.159999999989</v>
      </c>
      <c r="D124" s="24" t="s">
        <v>288</v>
      </c>
      <c r="E124" s="95">
        <f>+('DOE25'!L288)+('DOE25'!L307)+('DOE25'!L326)</f>
        <v>489.5</v>
      </c>
      <c r="F124" s="24" t="s">
        <v>288</v>
      </c>
      <c r="G124" s="24" t="s">
        <v>288</v>
      </c>
    </row>
    <row r="125" spans="1:7" x14ac:dyDescent="0.2">
      <c r="A125" t="s">
        <v>220</v>
      </c>
      <c r="B125" s="32" t="s">
        <v>221</v>
      </c>
      <c r="C125" s="95">
        <f>('DOE25'!L210)+('DOE25'!L228)+('DOE25'!L246)</f>
        <v>190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85325.349999999991</v>
      </c>
      <c r="D128" s="86">
        <f>SUM(D118:D127)</f>
        <v>0</v>
      </c>
      <c r="E128" s="86">
        <f>SUM(E118:E127)</f>
        <v>489.5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15119.03</v>
      </c>
      <c r="D138" s="24" t="s">
        <v>288</v>
      </c>
      <c r="E138" s="24" t="s">
        <v>288</v>
      </c>
      <c r="F138" s="24" t="s">
        <v>288</v>
      </c>
      <c r="G138" s="24" t="s">
        <v>288</v>
      </c>
    </row>
    <row r="139" spans="1:7" x14ac:dyDescent="0.2">
      <c r="A139" t="s">
        <v>239</v>
      </c>
      <c r="B139" s="32">
        <v>5252</v>
      </c>
      <c r="C139" s="95">
        <f>'DOE25'!L402</f>
        <v>10275.710000000001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-394.7400000000016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25000</v>
      </c>
      <c r="D144" s="141">
        <f>SUM(D130:D143)</f>
        <v>0</v>
      </c>
      <c r="E144" s="141">
        <f>SUM(E130:E143)</f>
        <v>0</v>
      </c>
      <c r="F144" s="141">
        <f>SUM(F130:F143)</f>
        <v>0</v>
      </c>
      <c r="G144" s="141">
        <f>SUM(G130:G143)</f>
        <v>0</v>
      </c>
    </row>
    <row r="145" spans="1:9" ht="12.75" thickTop="1" thickBot="1" x14ac:dyDescent="0.25">
      <c r="A145" s="33" t="s">
        <v>244</v>
      </c>
      <c r="C145" s="86">
        <f>(C115+C128+C144)</f>
        <v>839698.1</v>
      </c>
      <c r="D145" s="86">
        <f>(D115+D128+D144)</f>
        <v>0</v>
      </c>
      <c r="E145" s="86">
        <f>(E115+E128+E144)</f>
        <v>5200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 xml:space="preserve">        EATON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720962</v>
      </c>
      <c r="D10" s="182">
        <f>ROUND((C10/$C$28)*100,1)</f>
        <v>87.9</v>
      </c>
    </row>
    <row r="11" spans="1:4" x14ac:dyDescent="0.2">
      <c r="A11">
        <v>1200</v>
      </c>
      <c r="B11" t="s">
        <v>703</v>
      </c>
      <c r="C11" s="179">
        <f>ROUND('DOE25'!L199+'DOE25'!L217+'DOE25'!L235+'DOE25'!L278+'DOE25'!L297+'DOE25'!L316,0)</f>
        <v>13122</v>
      </c>
      <c r="D11" s="182">
        <f>ROUND((C11/$C$28)*100,1)</f>
        <v>1.6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3260</v>
      </c>
      <c r="D15" s="182">
        <f t="shared" ref="D15:D27" si="0">ROUND((C15/$C$28)*100,1)</f>
        <v>0.4</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34056</v>
      </c>
      <c r="D17" s="182">
        <f t="shared" si="0"/>
        <v>4.2</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48499</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819899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819899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613101</v>
      </c>
      <c r="D35" s="182">
        <f t="shared" ref="D35:D40" si="1">ROUND((C35/$C$41)*100,1)</f>
        <v>72.3</v>
      </c>
    </row>
    <row r="36" spans="1:4" x14ac:dyDescent="0.2">
      <c r="B36" s="185" t="s">
        <v>739</v>
      </c>
      <c r="C36" s="179">
        <f>SUM('DOE25'!F112:J112)-SUM('DOE25'!G97:G110)+('DOE25'!F175+'DOE25'!F176+'DOE25'!I175+'DOE25'!I176)-C35</f>
        <v>1502.7800000000279</v>
      </c>
      <c r="D36" s="182">
        <f t="shared" si="1"/>
        <v>0.2</v>
      </c>
    </row>
    <row r="37" spans="1:4" x14ac:dyDescent="0.2">
      <c r="A37" s="183" t="s">
        <v>835</v>
      </c>
      <c r="B37" s="185" t="s">
        <v>728</v>
      </c>
      <c r="C37" s="179">
        <f>ROUND('DOE25'!F117+'DOE25'!F118,0)</f>
        <v>227961</v>
      </c>
      <c r="D37" s="182">
        <f t="shared" si="1"/>
        <v>26.9</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5472</v>
      </c>
      <c r="D39" s="182">
        <f t="shared" si="1"/>
        <v>0.6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848036.78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 xml:space="preserve">        EATON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2021-05-05T12:20:34Z</cp:lastPrinted>
  <dcterms:created xsi:type="dcterms:W3CDTF">1997-12-04T19:04:30Z</dcterms:created>
  <dcterms:modified xsi:type="dcterms:W3CDTF">2021-11-01T17:49:03Z</dcterms:modified>
</cp:coreProperties>
</file>