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2" l="1"/>
  <c r="C24" i="2"/>
  <c r="K262" i="1" l="1"/>
  <c r="K271" i="1"/>
  <c r="C10" i="12"/>
  <c r="C37" i="12"/>
  <c r="F15" i="13"/>
  <c r="H159" i="1"/>
  <c r="K205" i="1"/>
  <c r="K242" i="1"/>
  <c r="K224" i="1"/>
  <c r="F473" i="1"/>
  <c r="F522" i="1"/>
  <c r="H162" i="1"/>
  <c r="F96" i="1"/>
  <c r="H208" i="1"/>
  <c r="H287" i="1"/>
  <c r="I469" i="1"/>
  <c r="J605" i="1"/>
  <c r="J240" i="1"/>
  <c r="J222" i="1"/>
  <c r="J204" i="1"/>
  <c r="I234" i="1"/>
  <c r="I216" i="1"/>
  <c r="I198" i="1"/>
  <c r="G234" i="1"/>
  <c r="G216" i="1"/>
  <c r="G198" i="1"/>
  <c r="F234" i="1"/>
  <c r="F216" i="1"/>
  <c r="F198" i="1"/>
  <c r="G199" i="1"/>
  <c r="K296" i="1"/>
  <c r="I296" i="1"/>
  <c r="G321" i="1"/>
  <c r="F315" i="1"/>
  <c r="F277" i="1"/>
  <c r="G283" i="1"/>
  <c r="G302" i="1"/>
  <c r="F321" i="1"/>
  <c r="F302" i="1"/>
  <c r="F283" i="1"/>
  <c r="G315" i="1"/>
  <c r="G296" i="1"/>
  <c r="G277" i="1"/>
  <c r="I277" i="1"/>
  <c r="I315" i="1"/>
  <c r="I605" i="1"/>
  <c r="H605" i="1"/>
  <c r="H325" i="1"/>
  <c r="H321" i="1"/>
  <c r="G320" i="1"/>
  <c r="F320" i="1"/>
  <c r="H306" i="1"/>
  <c r="H301" i="1"/>
  <c r="G301" i="1"/>
  <c r="F301" i="1"/>
  <c r="F296" i="1"/>
  <c r="I283" i="1"/>
  <c r="H283" i="1"/>
  <c r="G282" i="1"/>
  <c r="F282" i="1"/>
  <c r="H369" i="1"/>
  <c r="G369" i="1"/>
  <c r="F369" i="1"/>
  <c r="H368" i="1"/>
  <c r="G368" i="1"/>
  <c r="H245" i="1"/>
  <c r="G244" i="1"/>
  <c r="F244" i="1"/>
  <c r="I240" i="1"/>
  <c r="H240" i="1"/>
  <c r="I239" i="1"/>
  <c r="G240" i="1"/>
  <c r="F240" i="1"/>
  <c r="J239" i="1"/>
  <c r="G239" i="1"/>
  <c r="F239" i="1"/>
  <c r="I235" i="1"/>
  <c r="G235" i="1"/>
  <c r="F235" i="1"/>
  <c r="H234" i="1"/>
  <c r="H227" i="1"/>
  <c r="G226" i="1"/>
  <c r="F226" i="1"/>
  <c r="I222" i="1"/>
  <c r="H222" i="1"/>
  <c r="G222" i="1"/>
  <c r="F222" i="1"/>
  <c r="I221" i="1"/>
  <c r="G221" i="1"/>
  <c r="F221" i="1"/>
  <c r="I217" i="1"/>
  <c r="G217" i="1"/>
  <c r="F217" i="1"/>
  <c r="H216" i="1"/>
  <c r="G208" i="1"/>
  <c r="F208" i="1"/>
  <c r="I199" i="1"/>
  <c r="I204" i="1"/>
  <c r="G204" i="1"/>
  <c r="F204" i="1"/>
  <c r="I203" i="1"/>
  <c r="H203" i="1"/>
  <c r="G203" i="1"/>
  <c r="F203" i="1"/>
  <c r="F199" i="1"/>
  <c r="I361" i="1"/>
  <c r="I359" i="1"/>
  <c r="G360" i="1"/>
  <c r="G132" i="1"/>
  <c r="F110" i="1"/>
  <c r="G22" i="1"/>
  <c r="G14" i="1"/>
  <c r="G653" i="1"/>
  <c r="E7" i="17"/>
  <c r="E43" i="14"/>
  <c r="D43"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c r="L299" i="1"/>
  <c r="E112" i="2"/>
  <c r="L301" i="1"/>
  <c r="L302" i="1"/>
  <c r="L303" i="1"/>
  <c r="L304" i="1"/>
  <c r="L305" i="1"/>
  <c r="L306" i="1"/>
  <c r="L307" i="1"/>
  <c r="G663" i="1"/>
  <c r="L308" i="1"/>
  <c r="E125" i="2"/>
  <c r="L315" i="1"/>
  <c r="L316" i="1"/>
  <c r="L317" i="1"/>
  <c r="L318" i="1"/>
  <c r="L320" i="1"/>
  <c r="L321" i="1"/>
  <c r="L322" i="1"/>
  <c r="L323" i="1"/>
  <c r="L324" i="1"/>
  <c r="L325" i="1"/>
  <c r="L326" i="1"/>
  <c r="L327" i="1"/>
  <c r="L334" i="1"/>
  <c r="L335" i="1"/>
  <c r="L336" i="1"/>
  <c r="L261" i="1"/>
  <c r="C131" i="2"/>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H60" i="1"/>
  <c r="E56" i="2"/>
  <c r="I60" i="1"/>
  <c r="F56" i="2"/>
  <c r="F79" i="1"/>
  <c r="C57" i="2"/>
  <c r="F94" i="1"/>
  <c r="C58" i="2"/>
  <c r="F111" i="1"/>
  <c r="G111" i="1"/>
  <c r="H79" i="1"/>
  <c r="H94" i="1"/>
  <c r="H111" i="1"/>
  <c r="I111" i="1"/>
  <c r="I112" i="1"/>
  <c r="J111" i="1"/>
  <c r="J112" i="1"/>
  <c r="F121" i="1"/>
  <c r="F136" i="1"/>
  <c r="G121" i="1"/>
  <c r="G136" i="1"/>
  <c r="H121" i="1"/>
  <c r="H136" i="1"/>
  <c r="H140" i="1"/>
  <c r="I121" i="1"/>
  <c r="I136" i="1"/>
  <c r="J121" i="1"/>
  <c r="J136" i="1"/>
  <c r="F147" i="1"/>
  <c r="F170" i="1"/>
  <c r="G147" i="1"/>
  <c r="H147" i="1"/>
  <c r="H170" i="1"/>
  <c r="I147" i="1"/>
  <c r="F85" i="2"/>
  <c r="L251" i="1"/>
  <c r="C113" i="2"/>
  <c r="L333" i="1"/>
  <c r="E113" i="2"/>
  <c r="L255" i="1"/>
  <c r="L269" i="1"/>
  <c r="L270" i="1"/>
  <c r="L350" i="1"/>
  <c r="E142" i="2"/>
  <c r="L351" i="1"/>
  <c r="E143" i="2"/>
  <c r="I666" i="1"/>
  <c r="I671" i="1"/>
  <c r="I673" i="1" s="1"/>
  <c r="I670" i="1"/>
  <c r="C42" i="10"/>
  <c r="L375" i="1"/>
  <c r="L376" i="1"/>
  <c r="L377" i="1"/>
  <c r="L378" i="1"/>
  <c r="L379" i="1"/>
  <c r="L380" i="1"/>
  <c r="L381" i="1"/>
  <c r="B2" i="10"/>
  <c r="L345" i="1"/>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C130" i="2"/>
  <c r="D134" i="2"/>
  <c r="D144" i="2"/>
  <c r="E134" i="2"/>
  <c r="F134" i="2"/>
  <c r="K420" i="1"/>
  <c r="K428" i="1"/>
  <c r="K434" i="1"/>
  <c r="L264" i="1"/>
  <c r="C135" i="2"/>
  <c r="L265" i="1"/>
  <c r="C136" i="2"/>
  <c r="L266" i="1"/>
  <c r="C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G625"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G655" i="1"/>
  <c r="H655" i="1"/>
  <c r="H656" i="1"/>
  <c r="J656" i="1"/>
  <c r="F409" i="1"/>
  <c r="H644" i="1"/>
  <c r="E124" i="2"/>
  <c r="J140" i="1"/>
  <c r="E121" i="2"/>
  <c r="J572" i="1"/>
  <c r="I409" i="1"/>
  <c r="G477" i="1"/>
  <c r="H624" i="1"/>
  <c r="J624" i="1"/>
  <c r="G646" i="1"/>
  <c r="J646" i="1"/>
  <c r="G409" i="1"/>
  <c r="H646" i="1"/>
  <c r="E120" i="2"/>
  <c r="E119" i="2"/>
  <c r="J652" i="1"/>
  <c r="C119" i="2"/>
  <c r="C12" i="10"/>
  <c r="H663" i="1"/>
  <c r="A40" i="12"/>
  <c r="C110" i="2"/>
  <c r="C13" i="10"/>
  <c r="I170" i="1"/>
  <c r="C32" i="10"/>
  <c r="E123" i="2"/>
  <c r="E110" i="2"/>
  <c r="D18" i="13"/>
  <c r="C18" i="13"/>
  <c r="D15" i="13"/>
  <c r="C15" i="13"/>
  <c r="C121" i="2"/>
  <c r="C120" i="2"/>
  <c r="H409" i="1"/>
  <c r="H645" i="1"/>
  <c r="G662" i="1"/>
  <c r="D50" i="2"/>
  <c r="D6" i="13"/>
  <c r="C6" i="13"/>
  <c r="K339" i="1"/>
  <c r="K353" i="1"/>
  <c r="G339" i="1"/>
  <c r="G353" i="1"/>
  <c r="G553" i="1"/>
  <c r="J258" i="1"/>
  <c r="J272" i="1"/>
  <c r="E13" i="13"/>
  <c r="C13" i="13"/>
  <c r="H477" i="1"/>
  <c r="H625" i="1"/>
  <c r="J625" i="1"/>
  <c r="E131" i="2"/>
  <c r="E144" i="2"/>
  <c r="F258" i="1"/>
  <c r="F272" i="1"/>
  <c r="C20" i="10"/>
  <c r="I370" i="1"/>
  <c r="H635" i="1"/>
  <c r="J635" i="1"/>
  <c r="L257" i="1"/>
  <c r="H193"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E81" i="2"/>
  <c r="G546" i="1"/>
  <c r="J644" i="1"/>
  <c r="F112" i="1"/>
  <c r="L394" i="1"/>
  <c r="C138" i="2"/>
  <c r="L363" i="1"/>
  <c r="B17" i="16"/>
  <c r="B19" i="16"/>
  <c r="B28" i="16"/>
  <c r="L329" i="1"/>
  <c r="E122" i="2"/>
  <c r="L291" i="1"/>
  <c r="L615" i="1"/>
  <c r="K599" i="1"/>
  <c r="G648" i="1"/>
  <c r="K572" i="1"/>
  <c r="L571" i="1"/>
  <c r="H572" i="1"/>
  <c r="L566" i="1"/>
  <c r="I572" i="1"/>
  <c r="K546" i="1"/>
  <c r="H52" i="1"/>
  <c r="H620" i="1"/>
  <c r="J620" i="1"/>
  <c r="C114" i="2"/>
  <c r="G112" i="1"/>
  <c r="B10" i="16"/>
  <c r="E118" i="2"/>
  <c r="L248" i="1"/>
  <c r="L212" i="1"/>
  <c r="H648" i="1"/>
  <c r="J64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C51" i="2" s="1"/>
  <c r="F31" i="2"/>
  <c r="C31" i="2"/>
  <c r="E18"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D103" i="2"/>
  <c r="I140" i="1"/>
  <c r="A22" i="12"/>
  <c r="J653" i="1"/>
  <c r="G572" i="1"/>
  <c r="I435" i="1"/>
  <c r="G435" i="1"/>
  <c r="I664" i="1"/>
  <c r="B33" i="16"/>
  <c r="I663" i="1"/>
  <c r="H194" i="1"/>
  <c r="G630" i="1"/>
  <c r="J630" i="1"/>
  <c r="F661" i="1"/>
  <c r="F665" i="1"/>
  <c r="F668" i="1"/>
  <c r="H649" i="1"/>
  <c r="J649" i="1"/>
  <c r="E128" i="2"/>
  <c r="D51" i="2"/>
  <c r="H661" i="1"/>
  <c r="H665" i="1"/>
  <c r="H668" i="1"/>
  <c r="C141" i="2"/>
  <c r="C144" i="2"/>
  <c r="E115" i="2"/>
  <c r="G24" i="14"/>
  <c r="H24" i="14"/>
  <c r="I24" i="14"/>
  <c r="C81" i="2"/>
  <c r="E51" i="2"/>
  <c r="F194" i="1"/>
  <c r="G628" i="1"/>
  <c r="J628" i="1"/>
  <c r="L572" i="1"/>
  <c r="F51" i="2"/>
  <c r="G36" i="14"/>
  <c r="H36" i="14"/>
  <c r="I36" i="14"/>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G632" i="1"/>
  <c r="J632" i="1"/>
  <c r="G194" i="1"/>
  <c r="G629" i="1"/>
  <c r="J629" i="1"/>
  <c r="G627" i="1"/>
  <c r="J627" i="1"/>
  <c r="J52" i="1"/>
  <c r="H622" i="1"/>
  <c r="J622" i="1"/>
  <c r="C38" i="10"/>
  <c r="E145" i="2"/>
  <c r="H673" i="1"/>
  <c r="C6" i="10"/>
  <c r="C104" i="2"/>
  <c r="F673" i="1"/>
  <c r="C4" i="10"/>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 r="C7"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rgb="FF000000"/>
            <rFont val="Tahoma"/>
            <family val="2"/>
          </rPr>
          <t xml:space="preserve">Please be careful in reporting the tuition revenue to the appropriate category. Example, tuition paid by Parents vs. tuition paid by other LEA’s.
</t>
        </r>
        <r>
          <rPr>
            <sz val="8"/>
            <color rgb="FF000000"/>
            <rFont val="Tahoma"/>
            <family val="2"/>
          </rPr>
          <t xml:space="preserve">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rgb="FF000000"/>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rgb="FF000000"/>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<sst xmlns="http://schemas.openxmlformats.org/spreadsheetml/2006/main" count="5579" uniqueCount="1677">
  <si>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</si>
  <si>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</si>
  <si>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</si>
  <si>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</si>
  <si>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</si>
  <si>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</si>
  <si>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</si>
  <si>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</si>
  <si>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</si>
  <si>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</si>
  <si>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</si>
  <si>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</si>
  <si>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</si>
  <si>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</si>
  <si>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</si>
  <si>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</si>
  <si>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</si>
  <si>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</si>
  <si>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</si>
  <si>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</si>
  <si>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</si>
  <si>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</si>
  <si>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</si>
  <si>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</si>
  <si>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</si>
  <si>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</si>
  <si>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</si>
  <si>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</si>
  <si>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</si>
  <si>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</si>
  <si>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</si>
  <si>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</si>
  <si>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</si>
  <si>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</si>
  <si>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</si>
  <si>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</si>
  <si>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</si>
  <si>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</si>
  <si>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</si>
  <si>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</si>
  <si>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</si>
  <si>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</si>
  <si>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</si>
  <si>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</si>
  <si>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</si>
  <si>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</si>
  <si>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</si>
  <si>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</si>
  <si>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</si>
  <si>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</si>
  <si>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</si>
  <si>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</si>
  <si>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</si>
  <si>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</si>
  <si>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</si>
  <si>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</si>
  <si>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</si>
  <si>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</si>
  <si>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</si>
  <si>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</si>
  <si>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</si>
  <si>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</si>
  <si>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</si>
  <si>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</si>
  <si>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</si>
  <si>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</si>
  <si>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</si>
  <si>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</si>
  <si>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</si>
  <si>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</si>
  <si>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</si>
  <si>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</si>
  <si>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</si>
  <si>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</si>
  <si>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</si>
  <si>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</si>
  <si>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</si>
  <si>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</si>
  <si>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</si>
  <si>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</si>
  <si>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</si>
  <si>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</si>
  <si>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</si>
  <si>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</si>
  <si>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</si>
  <si>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</si>
  <si>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</si>
  <si>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</si>
  <si>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</si>
  <si>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</si>
  <si>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</si>
  <si>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</si>
  <si>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</si>
  <si>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</si>
  <si>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</si>
  <si>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</si>
  <si>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</si>
  <si>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</si>
  <si>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</si>
  <si>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</si>
  <si>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</si>
  <si>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</si>
  <si>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</si>
  <si>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</si>
  <si>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</si>
  <si>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</si>
  <si>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</si>
  <si>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</si>
  <si>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</si>
  <si>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</si>
  <si>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</si>
  <si>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</si>
  <si>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</si>
  <si>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</si>
  <si>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</si>
  <si>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</si>
  <si>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</si>
  <si>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</si>
  <si>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</si>
  <si>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</si>
  <si>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</si>
  <si>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</si>
  <si>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</si>
  <si>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</si>
  <si>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</si>
  <si>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</si>
  <si>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</si>
  <si>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</si>
  <si>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</si>
  <si>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</si>
  <si>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</si>
  <si>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</si>
  <si>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</si>
  <si>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</si>
  <si>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</si>
  <si>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</si>
  <si>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</si>
  <si>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</si>
  <si>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</si>
  <si>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</si>
  <si>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</si>
  <si>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</si>
  <si>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</si>
  <si>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</si>
  <si>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</si>
  <si>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</si>
  <si>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</si>
  <si>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</si>
  <si>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</si>
  <si>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</si>
  <si>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</si>
  <si>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</si>
  <si>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</si>
  <si>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</si>
  <si>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</si>
  <si>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</si>
  <si>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</si>
  <si>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</si>
  <si>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</si>
  <si>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</si>
  <si>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</si>
  <si>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</si>
  <si>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</si>
  <si>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</si>
  <si>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</si>
  <si>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</si>
  <si>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</si>
  <si>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</si>
  <si>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</si>
  <si>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</si>
  <si>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</si>
  <si>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</si>
  <si>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</si>
  <si>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</si>
  <si>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</si>
  <si>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</si>
  <si>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</si>
  <si>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</si>
  <si>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</si>
  <si>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</si>
  <si>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</si>
  <si>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</si>
  <si>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</si>
  <si>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</si>
  <si>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</si>
  <si>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</si>
  <si>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</si>
  <si>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</si>
  <si>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</si>
  <si>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</si>
  <si>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</si>
  <si>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</si>
  <si>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</si>
  <si>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</si>
  <si>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</si>
  <si>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</si>
  <si>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</si>
  <si>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</si>
  <si>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</si>
  <si>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</si>
  <si>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</si>
  <si>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</si>
  <si>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</si>
  <si>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</si>
  <si>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</si>
  <si>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</si>
  <si>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</si>
  <si>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</si>
  <si>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</si>
  <si>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</si>
  <si>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</si>
  <si>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</si>
  <si>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</si>
  <si>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</si>
  <si>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</si>
  <si>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</si>
  <si>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</si>
  <si>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</si>
  <si>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</si>
  <si>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</si>
  <si>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</si>
  <si>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</si>
  <si>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</si>
  <si>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</si>
  <si>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</si>
  <si>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</si>
  <si>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</si>
  <si>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</si>
  <si>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</si>
  <si>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</si>
  <si>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</si>
  <si>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</si>
  <si>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</si>
  <si>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</si>
  <si>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</si>
  <si>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</si>
  <si>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</si>
  <si>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</si>
  <si>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</si>
  <si>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</si>
  <si>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</si>
  <si>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</si>
  <si>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</si>
  <si>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</si>
  <si>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</si>
  <si>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</si>
  <si>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</si>
  <si>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</si>
  <si>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</si>
  <si>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</si>
  <si>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</si>
  <si>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</si>
  <si>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</si>
  <si>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</si>
  <si>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</si>
  <si>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</si>
  <si>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</si>
  <si>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</si>
  <si>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</si>
  <si>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</si>
  <si>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</si>
  <si>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</si>
  <si>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</si>
  <si>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</si>
  <si>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</si>
  <si>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</si>
  <si>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</si>
  <si>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</si>
  <si>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</si>
  <si>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</si>
  <si>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</si>
  <si>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</si>
  <si>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</si>
  <si>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</si>
  <si>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</si>
  <si>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</si>
  <si>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</si>
  <si>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</si>
  <si>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</si>
  <si>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</si>
  <si>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</si>
  <si>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</si>
  <si>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</si>
  <si>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</si>
  <si>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</si>
  <si>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</si>
  <si>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</si>
  <si>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</si>
  <si>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</si>
  <si>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</si>
  <si>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</si>
  <si>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</si>
  <si>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</si>
  <si>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</si>
  <si>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</si>
  <si>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</si>
  <si>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</si>
  <si>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</si>
  <si>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</si>
  <si>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</si>
  <si>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</si>
  <si>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</si>
  <si>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</si>
  <si>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</si>
  <si>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</si>
  <si>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</si>
  <si>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</si>
  <si>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</si>
  <si>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</si>
  <si>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</si>
  <si>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</si>
  <si>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</si>
  <si>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</si>
  <si>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</si>
  <si>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</si>
  <si>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</si>
  <si>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</si>
  <si>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</si>
  <si>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</si>
  <si>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</si>
  <si>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</si>
  <si>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</si>
  <si>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</si>
  <si>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</si>
  <si>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</si>
  <si>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</si>
  <si>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</si>
  <si>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</si>
  <si>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</si>
  <si>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</si>
  <si>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</si>
  <si>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</si>
  <si>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</si>
  <si>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</si>
  <si>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</si>
  <si>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</si>
  <si>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</si>
  <si>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</si>
  <si>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</si>
  <si>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</si>
  <si>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</si>
  <si>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</si>
  <si>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</si>
  <si>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</si>
  <si>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</si>
  <si>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</si>
  <si>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</si>
  <si>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</si>
  <si>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</si>
  <si>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</si>
  <si>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</si>
  <si>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</si>
  <si>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</si>
  <si>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</si>
  <si>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</si>
  <si>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</si>
  <si>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</si>
  <si>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</si>
  <si>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</si>
  <si>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</si>
  <si>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</si>
  <si>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</si>
  <si>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</si>
  <si>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</si>
  <si>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</si>
  <si>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</si>
  <si>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</si>
  <si>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</si>
  <si>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</si>
  <si>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</si>
  <si>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</si>
  <si>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</si>
  <si>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</si>
  <si>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</si>
  <si>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</si>
  <si>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</si>
  <si>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</si>
  <si>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</si>
  <si>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</si>
  <si>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</si>
  <si>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</si>
  <si>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</si>
  <si>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</si>
  <si>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</si>
  <si>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</si>
  <si>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</si>
  <si>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</si>
  <si>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</si>
  <si>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</si>
  <si>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</si>
  <si>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</si>
  <si>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</si>
  <si>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</si>
  <si>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</si>
  <si>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</si>
  <si>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</si>
  <si>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</si>
  <si>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</si>
  <si>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</si>
  <si>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</si>
  <si>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</si>
  <si>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</si>
  <si>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</si>
  <si>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</si>
  <si>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</si>
  <si>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</si>
  <si>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</si>
  <si>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</si>
  <si>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</si>
  <si>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</si>
  <si>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</si>
  <si>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</si>
  <si>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</si>
  <si>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</si>
  <si>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</si>
  <si>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</si>
  <si>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</si>
  <si>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</si>
  <si>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</si>
  <si>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</si>
  <si>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</si>
  <si>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</si>
  <si>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</si>
  <si>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</si>
  <si>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</si>
  <si>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</si>
  <si>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</si>
  <si>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</si>
  <si>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</si>
  <si>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</si>
  <si>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</si>
  <si>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</si>
  <si>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</si>
  <si>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</si>
  <si>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</si>
  <si>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</si>
  <si>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</si>
  <si>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</si>
  <si>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</si>
  <si>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</si>
  <si>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</si>
  <si>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</si>
  <si>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</si>
  <si>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</si>
  <si>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</si>
  <si>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</si>
  <si>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</si>
  <si>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</si>
  <si>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</si>
  <si>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</si>
  <si>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</si>
  <si>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</si>
  <si>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</si>
  <si>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</si>
  <si>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</si>
  <si>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</si>
  <si>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</si>
  <si>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</si>
  <si>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</si>
  <si>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</si>
  <si>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</si>
  <si>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</si>
  <si>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</si>
  <si>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</si>
  <si>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</si>
  <si>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</si>
  <si>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</si>
  <si>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</si>
  <si>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</si>
  <si>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</si>
  <si>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</si>
  <si>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</si>
  <si>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</si>
  <si>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</si>
  <si>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</si>
  <si>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</si>
  <si>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</si>
  <si>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</si>
  <si>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</si>
  <si>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</si>
  <si>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</si>
  <si>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</si>
  <si>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</si>
  <si>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</si>
  <si>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</si>
  <si>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</si>
  <si>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</si>
  <si>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</si>
  <si>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</si>
  <si>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</si>
  <si>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</si>
  <si>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</si>
  <si>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</si>
  <si>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</si>
  <si>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</si>
  <si>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</si>
  <si>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</si>
  <si>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</si>
  <si>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</si>
  <si>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</si>
  <si>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</si>
  <si>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</si>
  <si>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</si>
  <si>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</si>
  <si>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</si>
  <si>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</si>
  <si>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</si>
  <si>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</si>
  <si>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</si>
  <si>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</si>
  <si>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</si>
  <si>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</si>
  <si>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</si>
  <si>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</si>
  <si>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</si>
  <si>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</si>
  <si>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</si>
  <si>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</si>
  <si>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</si>
  <si>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</si>
  <si>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</si>
  <si>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</si>
  <si>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</si>
  <si>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</si>
  <si>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</si>
  <si>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</si>
  <si>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</si>
  <si>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</si>
  <si>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</si>
  <si>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</si>
  <si>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</si>
  <si>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</si>
  <si>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</si>
  <si>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</si>
  <si>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</si>
  <si>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</si>
  <si>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</si>
  <si>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</si>
  <si>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</si>
  <si>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</si>
  <si>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</si>
  <si>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</si>
  <si>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</si>
  <si>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</si>
  <si>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</si>
  <si>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</si>
  <si>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</si>
  <si>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</si>
  <si>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</si>
  <si>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</si>
  <si>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</si>
  <si>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</si>
  <si>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</si>
  <si>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</si>
  <si>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</si>
  <si>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</si>
  <si>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</si>
  <si>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</si>
  <si>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</si>
  <si>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</si>
  <si>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</si>
  <si>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</si>
  <si>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</si>
  <si>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</si>
  <si>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</si>
  <si>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</si>
  <si>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</si>
  <si>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</si>
  <si>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</si>
  <si>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</si>
  <si>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</si>
  <si>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</si>
  <si>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</si>
  <si>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</si>
  <si>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</si>
  <si>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</si>
  <si>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</si>
  <si>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</si>
  <si>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</si>
  <si>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</si>
  <si>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</si>
  <si>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</si>
  <si>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</si>
  <si>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</si>
  <si>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</si>
  <si>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</si>
  <si>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</si>
  <si>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</si>
  <si>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</si>
  <si>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</si>
  <si>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</si>
  <si>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</si>
  <si>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</si>
  <si>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</si>
  <si>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</si>
  <si>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</si>
  <si>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</si>
  <si>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</si>
  <si>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</si>
  <si>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</si>
  <si>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</si>
  <si>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</si>
  <si>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</si>
  <si>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</si>
  <si>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</si>
  <si>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</si>
  <si>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</si>
  <si>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</si>
  <si>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</si>
  <si>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</si>
  <si>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</si>
  <si>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</si>
  <si>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</si>
  <si>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</si>
  <si>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</si>
  <si>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</si>
  <si>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</si>
  <si>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</si>
  <si>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</si>
  <si>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</si>
  <si>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</si>
  <si>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</si>
  <si>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</si>
  <si>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</si>
  <si>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</si>
  <si>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</si>
  <si>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</si>
  <si>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</si>
  <si>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</si>
  <si>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</si>
  <si>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</si>
  <si>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</si>
  <si>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</si>
  <si>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</si>
  <si>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</si>
  <si>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</si>
  <si>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</si>
  <si>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</si>
  <si>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</si>
  <si>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</si>
  <si>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</si>
  <si>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</si>
  <si>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</si>
  <si>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</si>
  <si>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</si>
  <si>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</si>
  <si>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</si>
  <si>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</si>
  <si>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</si>
  <si>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</si>
  <si>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</si>
  <si>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</si>
  <si>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</si>
  <si>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</si>
  <si>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</si>
  <si>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</si>
  <si>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</si>
  <si>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</si>
  <si>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</si>
  <si>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</si>
  <si>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</si>
  <si>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</si>
  <si>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</si>
  <si>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</si>
  <si>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</si>
  <si>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</si>
  <si>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</si>
  <si>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</si>
  <si>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</si>
  <si>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</si>
  <si>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</si>
  <si>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</si>
  <si>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</si>
  <si>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</si>
  <si>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</si>
  <si>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</si>
  <si>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</si>
  <si>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</si>
  <si>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</si>
  <si>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</si>
  <si>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</si>
  <si>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</si>
  <si>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</si>
  <si>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</si>
  <si>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</si>
  <si>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</si>
  <si>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</si>
  <si>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</si>
  <si>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</si>
  <si>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</si>
  <si>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</si>
  <si>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</si>
  <si>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</si>
  <si>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</si>
  <si>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</si>
  <si>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</si>
  <si>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</si>
  <si>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</si>
  <si>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</si>
  <si>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</si>
  <si>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</si>
  <si>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</si>
  <si>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</si>
  <si>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</si>
  <si>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</si>
  <si>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</si>
  <si>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</si>
  <si>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</si>
  <si>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</si>
  <si>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</si>
  <si>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</si>
  <si>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</si>
  <si>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</si>
  <si>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</si>
  <si>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</si>
  <si>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</si>
  <si>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</si>
  <si>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</si>
  <si>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</si>
  <si>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</si>
  <si>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</si>
  <si>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</si>
  <si>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</si>
  <si>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</si>
  <si>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</si>
  <si>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</si>
  <si>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</si>
  <si>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</si>
  <si>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</si>
  <si>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</si>
  <si>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</si>
  <si>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</si>
  <si>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</si>
  <si>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</si>
  <si>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</si>
  <si>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</si>
  <si>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</si>
  <si>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</si>
  <si>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</si>
  <si>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</si>
  <si>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</si>
  <si>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</si>
  <si>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</si>
  <si>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</si>
  <si>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</si>
  <si>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</si>
  <si>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</si>
  <si>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</si>
  <si>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</si>
  <si>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</si>
  <si>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</si>
  <si>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</si>
  <si>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</si>
  <si>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</si>
  <si>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</si>
  <si>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</si>
  <si>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</si>
  <si>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</si>
  <si>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</si>
  <si>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</si>
  <si>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</si>
  <si>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</si>
  <si>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</si>
  <si>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</si>
  <si>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</si>
  <si>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</si>
  <si>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</si>
  <si>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</si>
  <si>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</si>
  <si>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</si>
  <si>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</si>
  <si>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</si>
  <si>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</si>
  <si>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</si>
  <si>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</si>
  <si>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</si>
  <si>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</si>
  <si>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</si>
  <si>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</si>
  <si>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</si>
  <si>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</si>
  <si>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</si>
  <si>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</si>
  <si>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</si>
  <si>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</si>
  <si>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</si>
  <si>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</si>
  <si>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</si>
  <si>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</si>
  <si>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</si>
  <si>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</si>
  <si>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</si>
  <si>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</si>
  <si>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</si>
  <si>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</si>
  <si>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</si>
  <si>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</si>
  <si>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</si>
  <si>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</si>
  <si>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</si>
  <si>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</si>
  <si>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</si>
  <si>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</si>
  <si>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</si>
  <si>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</si>
  <si>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</si>
  <si>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</si>
  <si>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</si>
  <si>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</si>
  <si>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</si>
  <si>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</si>
  <si>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</si>
  <si>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</si>
  <si>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</si>
  <si>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</si>
  <si>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</si>
  <si>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</si>
  <si>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</si>
  <si>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</si>
  <si>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</si>
  <si>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</si>
  <si>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</si>
  <si>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</si>
  <si>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</si>
  <si>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</si>
  <si>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</si>
  <si>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</si>
  <si>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</si>
  <si>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</si>
  <si>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</si>
  <si>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</si>
  <si>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</si>
  <si>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</si>
  <si>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</si>
  <si>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</si>
  <si>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</si>
  <si>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</si>
  <si>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</si>
  <si>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</si>
  <si>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</si>
  <si>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</si>
  <si>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</si>
  <si>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</si>
  <si>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</si>
  <si>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</si>
  <si>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</si>
  <si>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</si>
  <si>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</si>
  <si>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</si>
  <si>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</si>
  <si>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</si>
  <si>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</si>
  <si>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</si>
  <si>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</si>
  <si>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</si>
  <si>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</si>
  <si>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</si>
  <si>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</si>
  <si>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</si>
  <si>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</si>
  <si>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</si>
  <si>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</si>
  <si>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</si>
  <si>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</si>
  <si>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</si>
  <si>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</si>
  <si>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</si>
  <si>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</si>
  <si>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</si>
  <si>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</si>
  <si>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</si>
  <si>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</si>
  <si>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</si>
  <si>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</si>
  <si>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</si>
  <si>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</si>
  <si>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</si>
  <si>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</si>
  <si>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</si>
  <si>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</si>
  <si>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</si>
  <si>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</si>
  <si>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</si>
  <si>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</si>
  <si>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</si>
  <si>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</si>
  <si>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</si>
  <si>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</si>
  <si>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</si>
  <si>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</si>
  <si>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</si>
  <si>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</si>
  <si>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</si>
  <si>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</si>
  <si>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</si>
  <si>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</si>
  <si>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</si>
  <si>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</si>
  <si>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</si>
  <si>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</si>
  <si>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</si>
  <si>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</si>
  <si>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</si>
  <si>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</si>
  <si>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</si>
  <si>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</si>
  <si>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</si>
  <si>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</si>
  <si>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</si>
  <si>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</si>
  <si>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</si>
  <si>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</si>
  <si>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</si>
  <si>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</si>
  <si>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</si>
  <si>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</si>
  <si>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</si>
  <si>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</si>
  <si>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</si>
  <si>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</si>
  <si>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</si>
  <si>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</si>
  <si>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</si>
  <si>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</si>
  <si>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</si>
  <si>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</si>
  <si>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</si>
  <si>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</si>
  <si>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</si>
  <si>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</si>
  <si>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</si>
  <si>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</si>
  <si>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</si>
  <si>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</si>
  <si>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</si>
  <si>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</si>
  <si>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</si>
  <si>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</si>
  <si>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</si>
  <si>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</si>
  <si>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</si>
  <si>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</si>
  <si>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</si>
  <si>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</si>
  <si>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</si>
  <si>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</si>
  <si>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</si>
  <si>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</si>
  <si>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</si>
  <si>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</si>
  <si>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</si>
  <si>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</si>
  <si>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</si>
  <si>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</si>
  <si>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</si>
  <si>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</si>
  <si>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</si>
  <si>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</si>
  <si>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</si>
  <si>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</si>
  <si>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</si>
  <si>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</si>
  <si>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</si>
  <si>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</si>
  <si>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</si>
  <si>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</si>
  <si>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</si>
  <si>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</si>
  <si>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</si>
  <si>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</si>
  <si>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</si>
  <si>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</si>
  <si>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</si>
  <si>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</si>
  <si>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</si>
  <si>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</si>
  <si>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</si>
  <si>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</si>
  <si>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</si>
  <si>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</si>
  <si>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</si>
  <si>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</si>
  <si>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</si>
  <si>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</si>
  <si>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</si>
  <si>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</si>
  <si>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</si>
  <si>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</si>
  <si>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</si>
  <si>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</si>
  <si>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</si>
  <si>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</si>
  <si>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</si>
  <si>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</si>
  <si>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</si>
  <si>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</si>
  <si>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</si>
  <si>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</si>
  <si>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</si>
  <si>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</si>
  <si>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</si>
  <si>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</si>
  <si>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</si>
  <si>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</si>
  <si>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</si>
  <si>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</si>
  <si>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</si>
  <si>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</si>
  <si>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</si>
  <si>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</si>
  <si>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</si>
  <si>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</si>
  <si>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</si>
  <si>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</si>
  <si>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</si>
  <si>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</si>
  <si>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</si>
  <si>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</si>
  <si>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</si>
  <si>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</si>
  <si>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</si>
  <si>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</si>
  <si>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</si>
  <si>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</si>
  <si>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</si>
  <si>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</si>
  <si>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</si>
  <si>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</si>
  <si>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</si>
  <si>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</si>
  <si>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</si>
  <si>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</si>
  <si>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</si>
  <si>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</si>
  <si>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</si>
  <si>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</si>
  <si>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</si>
  <si>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</si>
  <si>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</si>
  <si>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</si>
  <si>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</si>
  <si>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</si>
  <si>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</si>
  <si>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</si>
  <si>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</si>
  <si>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</si>
  <si>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</si>
  <si>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</si>
  <si>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</si>
  <si>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</si>
  <si>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</si>
  <si>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</si>
  <si>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</si>
  <si>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</si>
  <si>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</si>
  <si>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</si>
  <si>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</si>
  <si>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</si>
  <si>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</si>
  <si>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</si>
  <si>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</si>
  <si>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</si>
  <si>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</si>
  <si>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</si>
  <si>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</si>
  <si>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</si>
  <si>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</si>
  <si>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</si>
  <si>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</si>
  <si>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</si>
  <si>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</si>
  <si>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</si>
  <si>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</si>
  <si>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</si>
  <si>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</si>
  <si>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</si>
  <si>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</si>
  <si>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</si>
  <si>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</si>
  <si>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</si>
  <si>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</si>
  <si>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</si>
  <si>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</si>
  <si>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</si>
  <si>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</si>
  <si>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</si>
  <si>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</si>
  <si>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</si>
  <si>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</si>
  <si>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</si>
  <si>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</si>
  <si>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</si>
  <si>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</si>
  <si>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</si>
  <si>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</si>
  <si>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</si>
  <si>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</si>
  <si>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</si>
  <si>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</si>
  <si>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</si>
  <si>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</si>
  <si>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</si>
  <si>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</si>
  <si>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</si>
  <si>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</si>
  <si>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</si>
  <si>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</si>
  <si>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</si>
  <si>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</si>
  <si>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</si>
  <si>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</si>
  <si>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</si>
  <si>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</si>
  <si>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</si>
  <si>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</si>
  <si>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</si>
  <si>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</si>
  <si>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</si>
  <si>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</si>
  <si>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</si>
  <si>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</si>
  <si>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</si>
  <si>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</si>
  <si>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</si>
  <si>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</si>
  <si>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</si>
  <si>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</si>
  <si>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</si>
  <si>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</si>
  <si>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</si>
  <si>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</si>
  <si>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</si>
  <si>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</si>
  <si>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</si>
  <si>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</si>
  <si>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</si>
  <si>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</si>
  <si>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</si>
  <si>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</si>
  <si>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</si>
  <si>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</si>
  <si>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</si>
  <si>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</si>
  <si>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</si>
  <si>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</si>
  <si>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</si>
  <si>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</si>
  <si>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</si>
  <si>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</si>
  <si>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</si>
  <si>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</si>
  <si>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</si>
  <si>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</si>
  <si>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</si>
  <si>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</si>
  <si>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</si>
  <si>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</si>
  <si>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</si>
  <si>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</si>
  <si>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</si>
  <si>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</si>
  <si>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</si>
  <si>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</si>
  <si>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</si>
  <si>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</si>
  <si>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</si>
  <si>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</si>
  <si>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</si>
  <si>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</si>
  <si>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</si>
  <si>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</si>
  <si>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</si>
  <si>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</si>
  <si>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</si>
  <si>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</si>
  <si>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</si>
  <si>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</si>
  <si>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</si>
  <si>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</si>
  <si>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</si>
  <si>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</si>
  <si>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</si>
  <si>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</si>
  <si>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</si>
  <si>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</si>
  <si>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</si>
  <si>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</si>
  <si>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</si>
  <si>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</si>
  <si>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</si>
  <si>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</si>
  <si>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</si>
  <si>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</si>
  <si>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</si>
  <si>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</si>
  <si>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</si>
  <si>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</si>
  <si>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</si>
  <si>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</si>
  <si>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</si>
  <si>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</si>
  <si>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</si>
  <si>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</si>
  <si>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</si>
  <si>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</si>
  <si>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</si>
  <si>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</si>
  <si>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</si>
  <si>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</si>
  <si>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</si>
  <si>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</si>
  <si>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</si>
  <si>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</si>
  <si>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</si>
  <si>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</si>
  <si>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</si>
  <si>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</si>
  <si>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</si>
  <si>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</si>
  <si>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</si>
  <si>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</si>
  <si>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</si>
  <si>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</si>
  <si>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</si>
  <si>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</si>
  <si>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</si>
  <si>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</si>
  <si>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</si>
  <si>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</si>
  <si>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</si>
  <si>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</si>
  <si>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</si>
  <si>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</si>
  <si>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</si>
  <si>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</si>
  <si>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</si>
  <si>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</si>
  <si>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</si>
  <si>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</si>
  <si>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</si>
  <si>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</si>
  <si>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</si>
  <si>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</si>
  <si>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</si>
  <si>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</si>
  <si>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</si>
  <si>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</si>
  <si>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</si>
  <si>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</si>
  <si>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</si>
  <si>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</si>
  <si>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</si>
  <si>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</si>
  <si>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</si>
  <si>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</si>
  <si>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</si>
  <si>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</si>
  <si>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</si>
  <si>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</si>
  <si>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</si>
  <si>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</si>
  <si>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</si>
  <si>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</si>
  <si>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</si>
  <si>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</si>
  <si>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</si>
  <si>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</si>
  <si>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</si>
  <si>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</si>
  <si>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</si>
  <si>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</si>
  <si>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</si>
  <si>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</si>
  <si>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</si>
  <si>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</si>
  <si>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</si>
  <si>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</si>
  <si>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</si>
  <si>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</si>
  <si>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</si>
  <si>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</si>
  <si>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</si>
  <si>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</si>
  <si>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</si>
  <si>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</si>
  <si>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</si>
  <si>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</si>
  <si>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</si>
  <si>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</si>
  <si>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</si>
  <si>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</si>
  <si>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</si>
  <si>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</si>
  <si>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</si>
  <si>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</si>
  <si>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</si>
  <si>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</si>
  <si>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</si>
  <si>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</si>
  <si>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</si>
  <si>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</si>
  <si>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</si>
  <si>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</si>
  <si>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</si>
  <si>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</si>
  <si>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</si>
  <si>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</si>
  <si>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</si>
  <si>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</si>
  <si>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</si>
  <si>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</si>
  <si>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</si>
  <si>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</si>
  <si>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</si>
  <si>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</si>
  <si>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</si>
  <si>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</si>
  <si>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</si>
  <si>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</si>
  <si>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</si>
  <si>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</si>
  <si>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</si>
  <si>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</si>
  <si>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</si>
  <si>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</si>
  <si>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</si>
  <si>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</si>
  <si>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</si>
  <si>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</si>
  <si>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</si>
  <si>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</si>
  <si>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</si>
  <si>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</si>
  <si>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</si>
  <si>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</si>
  <si>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</si>
  <si>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</si>
  <si>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</si>
  <si>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</si>
  <si>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</si>
  <si>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</si>
  <si>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</si>
  <si>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</si>
  <si>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</si>
  <si>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</si>
  <si>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</si>
  <si>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</si>
  <si>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</si>
  <si>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</si>
  <si>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</si>
  <si>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</si>
  <si>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</si>
  <si>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</si>
  <si>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</si>
  <si>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</si>
  <si>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</si>
  <si>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</si>
  <si>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</si>
  <si>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</si>
  <si>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</si>
  <si>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</si>
  <si>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</si>
  <si>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</si>
  <si>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</si>
  <si>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</si>
  <si>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</si>
  <si>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</si>
  <si>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</si>
  <si>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</si>
  <si>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</si>
  <si>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</si>
  <si>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</si>
  <si>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</si>
  <si>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</si>
  <si>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</si>
  <si>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</si>
  <si>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</si>
  <si>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</si>
  <si>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</si>
  <si>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</si>
  <si>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</si>
  <si>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</si>
  <si>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</si>
  <si>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</si>
  <si>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</si>
  <si>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</si>
  <si>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</si>
  <si>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</si>
  <si>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</si>
  <si>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</si>
  <si>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</si>
  <si>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</si>
  <si>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</si>
  <si>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</si>
  <si>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</si>
  <si>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</si>
  <si>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</si>
  <si>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</si>
  <si>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</si>
  <si>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</si>
  <si>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</si>
  <si>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</si>
  <si>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</si>
  <si>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</si>
  <si>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</si>
  <si>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</si>
  <si>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</si>
  <si>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</si>
  <si>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</si>
  <si>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</si>
  <si>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</si>
  <si>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</si>
  <si>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</si>
  <si>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</si>
  <si>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</si>
  <si>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</si>
  <si>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</si>
  <si>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</si>
  <si>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</si>
  <si>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</si>
  <si>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</si>
  <si>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</si>
  <si>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</si>
  <si>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</si>
  <si>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</si>
  <si>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</si>
  <si>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</si>
  <si>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</si>
  <si>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</si>
  <si>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</si>
  <si>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</si>
  <si>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</si>
  <si>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</si>
  <si>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</si>
  <si>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</si>
  <si>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</si>
  <si>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</si>
  <si>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</si>
  <si>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</si>
  <si>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</si>
  <si>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</si>
  <si>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</si>
  <si>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</si>
  <si>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</si>
  <si>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</si>
  <si>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</si>
  <si>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</si>
  <si>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</si>
  <si>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</si>
  <si>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</si>
  <si>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</si>
  <si>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</si>
  <si>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</si>
  <si>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</si>
  <si>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</si>
  <si>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</si>
  <si>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</si>
  <si>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</si>
  <si>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</si>
  <si>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</si>
  <si>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</si>
  <si>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</si>
  <si>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</si>
  <si>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</si>
  <si>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</si>
  <si>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</si>
  <si>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</si>
  <si>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</si>
  <si>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</si>
  <si>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</si>
  <si>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</si>
  <si>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</si>
  <si>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</si>
  <si>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</si>
  <si>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</si>
  <si>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</si>
  <si>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</si>
  <si>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</si>
  <si>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</si>
  <si>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</si>
  <si>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</si>
  <si>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</si>
  <si>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</si>
  <si>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</si>
  <si>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</si>
  <si>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</si>
  <si>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</si>
  <si>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</si>
  <si>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</si>
  <si>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</si>
  <si>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</si>
  <si>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</si>
  <si>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</si>
  <si>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</si>
  <si>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</si>
  <si>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</si>
  <si>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</si>
  <si>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</si>
  <si>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</si>
  <si>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</si>
  <si>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</si>
  <si>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</si>
  <si>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</si>
  <si>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</si>
  <si>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</si>
  <si>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</si>
  <si>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</si>
  <si>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</si>
  <si>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</si>
  <si>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</si>
  <si>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</si>
  <si>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</si>
  <si>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</si>
  <si>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</si>
  <si>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</si>
  <si>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</si>
  <si>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</si>
  <si>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</si>
  <si>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</si>
  <si>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</si>
  <si>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</si>
  <si>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</si>
  <si>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</si>
  <si>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</si>
  <si>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</si>
  <si>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</si>
  <si>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</si>
  <si>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</si>
  <si>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</si>
  <si>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</si>
  <si>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</si>
  <si>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</si>
  <si>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</si>
  <si>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</si>
  <si>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</si>
  <si>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</si>
  <si>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</si>
  <si>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</si>
  <si>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</si>
  <si>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</si>
  <si>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</si>
  <si>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</si>
  <si>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</si>
  <si>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</si>
  <si>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</si>
  <si>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</si>
  <si>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</si>
  <si>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</si>
  <si>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</si>
  <si>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</si>
  <si>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</si>
  <si>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</si>
  <si>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</si>
  <si>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</si>
  <si>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</si>
  <si>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</si>
  <si>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</si>
  <si>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</si>
  <si>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</si>
  <si>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</si>
  <si>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</si>
  <si>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</si>
  <si>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</si>
  <si>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</si>
  <si>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</si>
  <si>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</si>
  <si>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</si>
  <si>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</si>
  <si>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</si>
  <si>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</si>
  <si>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</si>
  <si>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</si>
  <si>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</si>
  <si>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</si>
  <si>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</si>
  <si>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</si>
  <si>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</si>
  <si>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</si>
  <si>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</si>
  <si>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</si>
  <si>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</si>
  <si>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</si>
  <si>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</si>
  <si>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</si>
  <si>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</si>
  <si>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</si>
  <si>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</si>
  <si>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</si>
  <si>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</si>
  <si>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</si>
  <si>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</si>
  <si>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</si>
  <si>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</si>
  <si>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</si>
  <si>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</si>
  <si>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</si>
  <si>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</si>
  <si>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</si>
  <si>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</si>
  <si>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</si>
  <si>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</si>
  <si>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</si>
  <si>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</si>
  <si>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</si>
  <si>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</si>
  <si>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</si>
  <si>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</si>
  <si>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</si>
  <si>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</si>
  <si>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</si>
  <si>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</si>
  <si>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</si>
  <si>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</si>
  <si>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</si>
  <si>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</si>
  <si>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</si>
  <si>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</si>
  <si>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</si>
  <si>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</si>
  <si>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</si>
  <si>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</si>
  <si>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</si>
  <si>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</si>
  <si>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</si>
  <si>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</si>
  <si>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</si>
  <si>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</si>
  <si>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</si>
  <si>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</si>
  <si>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</si>
  <si>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</si>
  <si>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</si>
  <si>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</si>
  <si>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</si>
  <si>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</si>
  <si>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</si>
  <si>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</si>
  <si>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</si>
  <si>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</si>
  <si>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</si>
  <si>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</si>
  <si>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</si>
  <si>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</si>
  <si>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</si>
  <si>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</si>
  <si>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</si>
  <si>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</si>
  <si>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</si>
  <si>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</si>
  <si>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</si>
  <si>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</si>
  <si>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</si>
  <si>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</si>
  <si>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</si>
  <si>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</si>
  <si>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</si>
  <si>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</si>
  <si>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</si>
  <si>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</si>
  <si>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</si>
  <si>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</si>
  <si>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</si>
  <si>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</si>
  <si>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</si>
  <si>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</si>
  <si>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</si>
  <si>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</si>
  <si>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</si>
  <si>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</si>
  <si>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</si>
  <si>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</si>
  <si>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</si>
  <si>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8/05</t>
  </si>
  <si>
    <t>6/18</t>
  </si>
  <si>
    <t>8/25</t>
  </si>
  <si>
    <t>8/28</t>
  </si>
  <si>
    <t xml:space="preserve">Audit adjustment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</si>
</sst>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2" activePane="bottomRight" state="frozen"/>
      <selection pane="topRight" activeCell="F1" sqref="F1"/>
      <selection pane="bottomLeft" activeCell="A4" sqref="A4"/>
      <selection pane="bottomRight"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1022</v>
      </c>
      <c r="B2" s="21">
        <v>165</v>
      </c>
      <c r="C2" s="21">
        <v>165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1606127.33</v>
      </c>
      <c r="G9" s="18">
        <v>30733.07</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366160.04</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0</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880466.1</v>
      </c>
      <c r="G13" s="18">
        <v>5627.23</v>
      </c>
      <c r="H13" s="18">
        <v>459323.08</v>
      </c>
      <c r="I13" s="18">
        <v>288019.12</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f>388.45+27086.69</f>
        <v>27475.14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30489.53</v>
      </c>
      <c r="G17" s="18">
        <v>199.45</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249.99</v>
      </c>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2517332.9500000002</v>
      </c>
      <c r="G19" s="41">
        <f>SUM(G9:G18)</f>
        <v>64034.89</v>
      </c>
      <c r="H19" s="41">
        <f>SUM(H9:H18)</f>
        <v>459323.08</v>
      </c>
      <c r="I19" s="41">
        <f>SUM(I9:I18)</f>
        <v>288019.12</v>
      </c>
      <c r="J19" s="41">
        <f>SUM(J9:J18)</f>
        <v>366160.04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f>131970.95+84977.29+-154615.19</f>
        <v>62333.049999999988</v>
      </c>
      <c r="H22" s="18">
        <v>459319.27</v>
      </c>
      <c r="I22" s="18">
        <v>-63549.45</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458889.25</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38.97</v>
      </c>
      <c r="G24" s="18">
        <v>3.44</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4"/>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53407.040000000001</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1698.4</v>
      </c>
      <c r="H30" s="18"/>
      <c r="I30" s="18">
        <v>351568.75</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512335.25999999995</v>
      </c>
      <c r="G32" s="41">
        <f>SUM(G22:G31)</f>
        <v>64034.889999999992</v>
      </c>
      <c r="H32" s="41">
        <f>SUM(H22:H31)</f>
        <v>459319.27</v>
      </c>
      <c r="I32" s="41">
        <f>SUM(I22:I31)</f>
        <v>288019.3</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4"/>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v>3.81</v>
      </c>
      <c r="I39" s="18">
        <v>-0.18</v>
      </c>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366160.04</v>
      </c>
      <c r="K48" s="24" t="s">
        <v>288</v>
      </c>
      <c r="L48" s="24" t="s">
        <v>288</v>
      </c>
      <c r="M48" s="8"/>
      <c r="N48" s="264"/>
    </row>
    <row r="49" spans="1:14" s="3" customFormat="1" ht="12.2" customHeight="1" x14ac:dyDescent="0.15">
      <c r="A49" s="1" t="s">
        <v>859</v>
      </c>
      <c r="B49" s="2" t="s">
        <v>289</v>
      </c>
      <c r="C49" s="6">
        <v>34</v>
      </c>
      <c r="D49" s="2"/>
      <c r="E49" s="6">
        <v>753</v>
      </c>
      <c r="F49" s="18">
        <v>293182.42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1261815.27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2004997.69</v>
      </c>
      <c r="G51" s="41">
        <f>SUM(G35:G50)</f>
        <v>0</v>
      </c>
      <c r="H51" s="41">
        <f>SUM(H35:H50)</f>
        <v>3.81</v>
      </c>
      <c r="I51" s="41">
        <f>SUM(I35:I50)</f>
        <v>-0.18</v>
      </c>
      <c r="J51" s="41">
        <f>SUM(J35:J50)</f>
        <v>366160.04</v>
      </c>
      <c r="K51" s="45" t="s">
        <v>288</v>
      </c>
      <c r="L51" s="45" t="s">
        <v>288</v>
      </c>
      <c r="N51" s="262"/>
    </row>
    <row r="52" spans="1:14" s="3" customFormat="1" ht="12.2" customHeight="1" thickTop="1" x14ac:dyDescent="0.15">
      <c r="A52" s="38" t="s">
        <v>455</v>
      </c>
      <c r="B52" s="39" t="s">
        <v>289</v>
      </c>
      <c r="C52" s="6">
        <v>37</v>
      </c>
      <c r="D52" s="39" t="s">
        <v>653</v>
      </c>
      <c r="E52" s="39"/>
      <c r="F52" s="41">
        <f>F51+F32</f>
        <v>2517332.9499999997</v>
      </c>
      <c r="G52" s="41">
        <f>G51+G32</f>
        <v>64034.889999999992</v>
      </c>
      <c r="H52" s="41">
        <f>H51+H32</f>
        <v>459323.08</v>
      </c>
      <c r="I52" s="41">
        <f>I51+I32</f>
        <v>288019.12</v>
      </c>
      <c r="J52" s="41">
        <f>J51+J32</f>
        <v>366160.04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14307196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14307196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10920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1500</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14521.38</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26941.379999999997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1545.64</f>
        <v>1545.64</v>
      </c>
      <c r="G96" s="18"/>
      <c r="H96" s="18"/>
      <c r="I96" s="18"/>
      <c r="J96" s="18">
        <v>1272.52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143900.87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250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7890</v>
      </c>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350217.05+90000+2610+133865.28</f>
        <v>576692.32999999996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578487.97</v>
      </c>
      <c r="G111" s="41">
        <f>SUM(G96:G110)</f>
        <v>151790.87</v>
      </c>
      <c r="H111" s="41">
        <f>SUM(H96:H110)</f>
        <v>0</v>
      </c>
      <c r="I111" s="41">
        <f>SUM(I96:I110)</f>
        <v>0</v>
      </c>
      <c r="J111" s="41">
        <f>SUM(J96:J110)</f>
        <v>1272.52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14912625.350000001</v>
      </c>
      <c r="G112" s="41">
        <f>G60+G111</f>
        <v>151790.87</v>
      </c>
      <c r="H112" s="41">
        <f>H60+H79+H94+H111</f>
        <v>0</v>
      </c>
      <c r="I112" s="41">
        <f>I60+I111</f>
        <v>0</v>
      </c>
      <c r="J112" s="41">
        <f>J60+J111</f>
        <v>1272.52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3072837.18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1757502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5098.96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4835438.1399999997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301874.61</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50164.28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9573.98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3566.09+587.43</f>
        <v>4153.5200000000004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361612.87</v>
      </c>
      <c r="G136" s="41">
        <f>SUM(G123:G135)</f>
        <v>4153.5200000000004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5197051.01</v>
      </c>
      <c r="G140" s="41">
        <f>G121+SUM(G136:G137)</f>
        <v>4153.5200000000004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137074.71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37777.730000000003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52451.91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512837.95-132340.88-137074.71-37777.73</f>
        <v>205644.63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47266.13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18807.48</v>
      </c>
      <c r="H161" s="18">
        <v>178400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f>308025.54+132340.88</f>
        <v>440366.42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47266.13</v>
      </c>
      <c r="G163" s="41">
        <f>SUM(G150:G162)</f>
        <v>71259.39</v>
      </c>
      <c r="H163" s="41">
        <f>SUM(H150:H162)</f>
        <v>999263.49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47266.13</v>
      </c>
      <c r="G170" s="41">
        <f>G147+G163+SUM(G164:G169)</f>
        <v>71259.39</v>
      </c>
      <c r="H170" s="41">
        <f>H147+H163+SUM(H164:H169)</f>
        <v>999263.49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288019.3</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288019.3</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37440.57</v>
      </c>
      <c r="H180" s="4"/>
      <c r="I180" s="18"/>
      <c r="J180" s="18">
        <v>250000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37440.57</v>
      </c>
      <c r="H184" s="41">
        <f>SUM(H181:H183)</f>
        <v>0</v>
      </c>
      <c r="I184" s="41">
        <f>SUM(I180:I183)</f>
        <v>0</v>
      </c>
      <c r="J184" s="41">
        <f>SUM(J180:J183)</f>
        <v>250000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141431.25</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141431.25</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v>3.71</v>
      </c>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37440.57</v>
      </c>
      <c r="H193" s="41">
        <f>+H184+SUM(H189:H192)</f>
        <v>3.71</v>
      </c>
      <c r="I193" s="41">
        <f>I178+I184+SUM(I189:I192)</f>
        <v>429450.55</v>
      </c>
      <c r="J193" s="41">
        <f>J184</f>
        <v>250000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20156942.489999998</v>
      </c>
      <c r="G194" s="47">
        <f>G112+G140+G170+G193</f>
        <v>264644.34999999998</v>
      </c>
      <c r="H194" s="47">
        <f>H112+H140+H170+H193</f>
        <v>999267.2</v>
      </c>
      <c r="I194" s="47">
        <f>I112+I140+I170+I193</f>
        <v>429450.55</v>
      </c>
      <c r="J194" s="47">
        <f>J112+J140+J193</f>
        <v>251272.52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1563230.56+51557.43+338991.12+71993.63</f>
        <v>2025772.7399999998</v>
      </c>
      <c r="G198" s="18">
        <f>808896.34+22587.3+60221.76+60221.76+62532.63</f>
        <v>1014459.79</v>
      </c>
      <c r="H198" s="4">
        <v>502.61</v>
      </c>
      <c r="I198" s="18">
        <f>99040.75+13426.07+5584.27</f>
        <v>118051.09000000001</v>
      </c>
      <c r="J198" s="18">
        <v>16472.75</v>
      </c>
      <c r="K198" s="18"/>
      <c r="L198" s="19">
        <f>SUM(F198:K198)</f>
        <v>3175258.9799999995</v>
      </c>
      <c r="M198" s="8"/>
      <c r="N198" s="264"/>
    </row>
    <row r="199" spans="1:14" s="3" customFormat="1" ht="12.2" customHeight="1" x14ac:dyDescent="0.15">
      <c r="A199" s="1" t="s">
        <v>439</v>
      </c>
      <c r="B199" s="2" t="s">
        <v>341</v>
      </c>
      <c r="C199" s="2" t="s">
        <v>291</v>
      </c>
      <c r="D199" s="2" t="s">
        <v>431</v>
      </c>
      <c r="E199" s="6">
        <v>1200</v>
      </c>
      <c r="F199" s="18">
        <f>608200.46+51784.89</f>
        <v>659985.35</v>
      </c>
      <c r="G199" s="18">
        <f>395321.95+16005.66</f>
        <v>411327.61</v>
      </c>
      <c r="H199" s="4">
        <v>312037.88</v>
      </c>
      <c r="I199" s="18">
        <f>7400.3+843.85</f>
        <v>8244.15</v>
      </c>
      <c r="J199" s="18">
        <v>1140.6199999999999</v>
      </c>
      <c r="K199" s="18"/>
      <c r="L199" s="19">
        <f>SUM(F199:K199)</f>
        <v>1392735.6099999999</v>
      </c>
      <c r="M199" s="8"/>
      <c r="N199" s="264"/>
    </row>
    <row r="200" spans="1:14" s="3" customFormat="1" ht="12.2" customHeight="1" x14ac:dyDescent="0.15">
      <c r="A200" s="1" t="s">
        <v>440</v>
      </c>
      <c r="B200" s="2" t="s">
        <v>341</v>
      </c>
      <c r="C200" s="2" t="s">
        <v>292</v>
      </c>
      <c r="D200" s="2" t="s">
        <v>431</v>
      </c>
      <c r="E200" s="6">
        <v>1300</v>
      </c>
      <c r="F200" s="18"/>
      <c r="G200" s="18"/>
      <c r="H200" s="4"/>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5082.5</v>
      </c>
      <c r="G201" s="18">
        <v>918.98</v>
      </c>
      <c r="H201" s="18"/>
      <c r="I201" s="18">
        <v>378.24</v>
      </c>
      <c r="J201" s="18"/>
      <c r="K201" s="18"/>
      <c r="L201" s="19">
        <f>SUM(F201:K201)</f>
        <v>6379.7199999999993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187702.82+204719.87</f>
        <v>392422.69</v>
      </c>
      <c r="G203" s="18">
        <f>125641.88+140928.95</f>
        <v>266570.83</v>
      </c>
      <c r="H203" s="18">
        <f>165+80255.91</f>
        <v>80420.91</v>
      </c>
      <c r="I203" s="18">
        <f>4340.82+4166.42</f>
        <v>8507.24</v>
      </c>
      <c r="J203" s="18">
        <v>708.42</v>
      </c>
      <c r="K203" s="18">
        <v>50</v>
      </c>
      <c r="L203" s="19">
        <f t="shared" ref="L203:L209" si="0">SUM(F203:K203)</f>
        <v>748680.09000000008</v>
      </c>
      <c r="M203" s="8"/>
      <c r="N203" s="264"/>
    </row>
    <row r="204" spans="1:14" s="3" customFormat="1" ht="12.2" customHeight="1" x14ac:dyDescent="0.15">
      <c r="A204" s="1" t="s">
        <v>443</v>
      </c>
      <c r="B204" s="2" t="s">
        <v>341</v>
      </c>
      <c r="C204" s="2" t="s">
        <v>295</v>
      </c>
      <c r="D204" s="2" t="s">
        <v>431</v>
      </c>
      <c r="E204" s="6">
        <v>2200</v>
      </c>
      <c r="F204" s="18">
        <f>70916+83961.98</f>
        <v>154877.97999999998</v>
      </c>
      <c r="G204" s="18">
        <f>47973.89+36131.32</f>
        <v>84105.209999999992</v>
      </c>
      <c r="H204" s="18">
        <v>31341.85</v>
      </c>
      <c r="I204" s="18">
        <f>14135.67+56898.96</f>
        <v>71034.63</v>
      </c>
      <c r="J204" s="18">
        <f>433.84+108001.79+791.8</f>
        <v>109227.43</v>
      </c>
      <c r="K204" s="18">
        <v>561.97</v>
      </c>
      <c r="L204" s="19">
        <f t="shared" si="0"/>
        <v>451149.06999999995</v>
      </c>
      <c r="M204" s="8"/>
      <c r="N204" s="264"/>
    </row>
    <row r="205" spans="1:14" s="3" customFormat="1" ht="12.2" customHeight="1" x14ac:dyDescent="0.15">
      <c r="A205" s="1" t="s">
        <v>444</v>
      </c>
      <c r="B205" s="2" t="s">
        <v>341</v>
      </c>
      <c r="C205" s="2" t="s">
        <v>296</v>
      </c>
      <c r="D205" s="2" t="s">
        <v>431</v>
      </c>
      <c r="E205" s="6">
        <v>2300</v>
      </c>
      <c r="F205" s="18">
        <v>301527.21999999997</v>
      </c>
      <c r="G205" s="18">
        <v>153832.79</v>
      </c>
      <c r="H205" s="18">
        <v>29160.22</v>
      </c>
      <c r="I205" s="18">
        <v>5888.97</v>
      </c>
      <c r="J205" s="18">
        <v>152.99</v>
      </c>
      <c r="K205" s="18">
        <f>7940.3-1107.04</f>
        <v>6833.26</v>
      </c>
      <c r="L205" s="19">
        <f t="shared" si="0"/>
        <v>497395.44999999995</v>
      </c>
      <c r="M205" s="8"/>
      <c r="N205" s="264"/>
    </row>
    <row r="206" spans="1:14" s="3" customFormat="1" ht="12.2" customHeight="1" x14ac:dyDescent="0.15">
      <c r="A206" s="1" t="s">
        <v>445</v>
      </c>
      <c r="B206" s="2" t="s">
        <v>341</v>
      </c>
      <c r="C206" s="2" t="s">
        <v>297</v>
      </c>
      <c r="D206" s="2" t="s">
        <v>431</v>
      </c>
      <c r="E206" s="6">
        <v>2400</v>
      </c>
      <c r="F206" s="18">
        <v>306844.58</v>
      </c>
      <c r="G206" s="18">
        <v>168378.87</v>
      </c>
      <c r="H206" s="18">
        <v>24062.83</v>
      </c>
      <c r="I206" s="18">
        <v>3593.43</v>
      </c>
      <c r="J206" s="18">
        <v>320.97000000000003</v>
      </c>
      <c r="K206" s="18">
        <v>1728</v>
      </c>
      <c r="L206" s="19">
        <f t="shared" si="0"/>
        <v>504928.68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180134.12+78437.36</f>
        <v>258571.47999999998</v>
      </c>
      <c r="G208" s="18">
        <f>84813.8+38190.87</f>
        <v>123004.67000000001</v>
      </c>
      <c r="H208" s="18">
        <f>197601.63-10467.2</f>
        <v>187134.43</v>
      </c>
      <c r="I208" s="18">
        <v>199170.99</v>
      </c>
      <c r="J208" s="18">
        <v>4466.43</v>
      </c>
      <c r="K208" s="18"/>
      <c r="L208" s="19">
        <f t="shared" si="0"/>
        <v>772348.00000000012</v>
      </c>
      <c r="M208" s="8"/>
      <c r="N208" s="264"/>
    </row>
    <row r="209" spans="1:14" s="3" customFormat="1" ht="12.2" customHeight="1" x14ac:dyDescent="0.15">
      <c r="A209" s="1" t="s">
        <v>448</v>
      </c>
      <c r="B209" s="2" t="s">
        <v>341</v>
      </c>
      <c r="C209" s="2" t="s">
        <v>300</v>
      </c>
      <c r="D209" s="2" t="s">
        <v>431</v>
      </c>
      <c r="E209" s="6">
        <v>2700</v>
      </c>
      <c r="F209" s="18"/>
      <c r="G209" s="18"/>
      <c r="H209" s="18">
        <v>282504.73</v>
      </c>
      <c r="I209" s="18"/>
      <c r="J209" s="18"/>
      <c r="K209" s="18"/>
      <c r="L209" s="19">
        <f t="shared" si="0"/>
        <v>282504.73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4105084.5399999996</v>
      </c>
      <c r="G212" s="41">
        <f t="shared" si="1"/>
        <v>2222598.75</v>
      </c>
      <c r="H212" s="41">
        <f t="shared" si="1"/>
        <v>947165.46</v>
      </c>
      <c r="I212" s="41">
        <f>SUM(I198:I211)</f>
        <v>414868.74</v>
      </c>
      <c r="J212" s="41">
        <f t="shared" si="1"/>
        <v>132489.60999999999</v>
      </c>
      <c r="K212" s="41">
        <f t="shared" si="1"/>
        <v>9173.23</v>
      </c>
      <c r="L212" s="41">
        <f t="shared" si="1"/>
        <v>7831380.3300000001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1039237.55+22240.47+71993.63</f>
        <v>1133471.6499999999</v>
      </c>
      <c r="G216" s="18">
        <f>599989.77+9743.54+25978.02+25978.02+62532.64</f>
        <v>724221.99000000011</v>
      </c>
      <c r="H216" s="18">
        <f>3129.71+216.81</f>
        <v>3346.52</v>
      </c>
      <c r="I216" s="18">
        <f>27504.98+5791.64+5584.27</f>
        <v>38880.89</v>
      </c>
      <c r="J216" s="18">
        <v>12184.96</v>
      </c>
      <c r="K216" s="18"/>
      <c r="L216" s="19">
        <f>SUM(F216:K216)</f>
        <v>1912106.01</v>
      </c>
      <c r="M216" s="8"/>
      <c r="N216" s="264"/>
    </row>
    <row r="217" spans="1:14" s="3" customFormat="1" ht="12.2" customHeight="1" x14ac:dyDescent="0.15">
      <c r="A217" s="1" t="s">
        <v>439</v>
      </c>
      <c r="B217" s="2" t="s">
        <v>346</v>
      </c>
      <c r="C217" s="2" t="s">
        <v>291</v>
      </c>
      <c r="D217" s="2" t="s">
        <v>431</v>
      </c>
      <c r="E217" s="6">
        <v>1200</v>
      </c>
      <c r="F217" s="18">
        <f>293089.02+22338.58</f>
        <v>315427.60000000003</v>
      </c>
      <c r="G217" s="18">
        <f>179726.99+6904.4</f>
        <v>186631.38999999998</v>
      </c>
      <c r="H217" s="18">
        <v>134604.57999999999</v>
      </c>
      <c r="I217" s="18">
        <f>4063.13+364.01</f>
        <v>4427.1400000000003</v>
      </c>
      <c r="J217" s="18">
        <v>448.32</v>
      </c>
      <c r="K217" s="18"/>
      <c r="L217" s="19">
        <f>SUM(F217:K217)</f>
        <v>641539.02999999991</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48919.13</v>
      </c>
      <c r="G219" s="18">
        <v>9986.66</v>
      </c>
      <c r="H219" s="18">
        <v>12933.91</v>
      </c>
      <c r="I219" s="18">
        <v>2302.4299999999998</v>
      </c>
      <c r="J219" s="18">
        <v>1780.4</v>
      </c>
      <c r="K219" s="18">
        <v>365</v>
      </c>
      <c r="L219" s="19">
        <f>SUM(F219:K219)</f>
        <v>76287.529999999984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103244.86+88310.53</f>
        <v>191555.39</v>
      </c>
      <c r="G221" s="18">
        <f>44698.68+60792.88</f>
        <v>105491.56</v>
      </c>
      <c r="H221" s="18">
        <v>34620.19</v>
      </c>
      <c r="I221" s="18">
        <f>3596.63+1797.28</f>
        <v>5393.91</v>
      </c>
      <c r="J221" s="18">
        <v>305.58999999999997</v>
      </c>
      <c r="K221" s="18">
        <v>97.5</v>
      </c>
      <c r="L221" s="19">
        <f t="shared" ref="L221:L227" si="2">SUM(F221:K221)</f>
        <v>337464.14</v>
      </c>
      <c r="M221" s="8"/>
      <c r="N221" s="264"/>
    </row>
    <row r="222" spans="1:14" s="3" customFormat="1" ht="12.2" customHeight="1" x14ac:dyDescent="0.15">
      <c r="A222" s="1" t="s">
        <v>443</v>
      </c>
      <c r="B222" s="2" t="s">
        <v>346</v>
      </c>
      <c r="C222" s="2" t="s">
        <v>295</v>
      </c>
      <c r="D222" s="2" t="s">
        <v>431</v>
      </c>
      <c r="E222" s="6">
        <v>2200</v>
      </c>
      <c r="F222" s="18">
        <f>35914.02+36218.89</f>
        <v>72132.91</v>
      </c>
      <c r="G222" s="18">
        <f>27106.16+15586.06</f>
        <v>42692.22</v>
      </c>
      <c r="H222" s="18">
        <f>749.74+13520.01</f>
        <v>14269.75</v>
      </c>
      <c r="I222" s="18">
        <f>7281.8+24544.65</f>
        <v>31826.45</v>
      </c>
      <c r="J222" s="18">
        <f>2781.13+46589.01+791.8</f>
        <v>50161.94</v>
      </c>
      <c r="K222" s="18">
        <v>242.42</v>
      </c>
      <c r="L222" s="19">
        <f t="shared" si="2"/>
        <v>211325.69000000003</v>
      </c>
      <c r="M222" s="8"/>
      <c r="N222" s="264"/>
    </row>
    <row r="223" spans="1:14" s="3" customFormat="1" ht="12.2" customHeight="1" x14ac:dyDescent="0.15">
      <c r="A223" s="1" t="s">
        <v>444</v>
      </c>
      <c r="B223" s="2" t="s">
        <v>346</v>
      </c>
      <c r="C223" s="2" t="s">
        <v>296</v>
      </c>
      <c r="D223" s="2" t="s">
        <v>431</v>
      </c>
      <c r="E223" s="6">
        <v>2300</v>
      </c>
      <c r="F223" s="18">
        <v>130070.57</v>
      </c>
      <c r="G223" s="18">
        <v>66359.240000000005</v>
      </c>
      <c r="H223" s="18">
        <v>12578.92</v>
      </c>
      <c r="I223" s="18">
        <v>2540.34</v>
      </c>
      <c r="J223" s="18">
        <v>66</v>
      </c>
      <c r="K223" s="18">
        <v>3425.23</v>
      </c>
      <c r="L223" s="19">
        <f t="shared" si="2"/>
        <v>215040.30000000002</v>
      </c>
      <c r="M223" s="8"/>
      <c r="N223" s="264"/>
    </row>
    <row r="224" spans="1:14" s="3" customFormat="1" ht="12.2" customHeight="1" x14ac:dyDescent="0.15">
      <c r="A224" s="1" t="s">
        <v>445</v>
      </c>
      <c r="B224" s="2" t="s">
        <v>346</v>
      </c>
      <c r="C224" s="2" t="s">
        <v>297</v>
      </c>
      <c r="D224" s="2" t="s">
        <v>431</v>
      </c>
      <c r="E224" s="6">
        <v>2400</v>
      </c>
      <c r="F224" s="18">
        <v>253293.38</v>
      </c>
      <c r="G224" s="18">
        <v>74002.11</v>
      </c>
      <c r="H224" s="18">
        <v>16606.7</v>
      </c>
      <c r="I224" s="18">
        <v>2435.0500000000002</v>
      </c>
      <c r="J224" s="18"/>
      <c r="K224" s="18">
        <f>6176.42+1993+4183.42-2566.31</f>
        <v>9786.5300000000007</v>
      </c>
      <c r="L224" s="19">
        <f t="shared" si="2"/>
        <v>356123.77</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f>48298.64+33835.72</f>
        <v>82134.36</v>
      </c>
      <c r="G226" s="18">
        <f>20709.06+16474.49</f>
        <v>37183.550000000003</v>
      </c>
      <c r="H226" s="18">
        <v>85239.92</v>
      </c>
      <c r="I226" s="18">
        <v>85916.9</v>
      </c>
      <c r="J226" s="18">
        <v>1926.69</v>
      </c>
      <c r="K226" s="18"/>
      <c r="L226" s="19">
        <f t="shared" si="2"/>
        <v>292401.42</v>
      </c>
      <c r="M226" s="8"/>
      <c r="N226" s="264"/>
    </row>
    <row r="227" spans="1:14" s="3" customFormat="1" ht="12.2" customHeight="1" x14ac:dyDescent="0.15">
      <c r="A227" s="1" t="s">
        <v>448</v>
      </c>
      <c r="B227" s="2" t="s">
        <v>346</v>
      </c>
      <c r="C227" s="2" t="s">
        <v>300</v>
      </c>
      <c r="D227" s="2" t="s">
        <v>431</v>
      </c>
      <c r="E227" s="6">
        <v>2700</v>
      </c>
      <c r="F227" s="18"/>
      <c r="G227" s="18"/>
      <c r="H227" s="18">
        <f>8684.34+121864.78</f>
        <v>130549.12</v>
      </c>
      <c r="I227" s="18"/>
      <c r="J227" s="18"/>
      <c r="K227" s="18"/>
      <c r="L227" s="19">
        <f t="shared" si="2"/>
        <v>130549.12</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2227004.9899999998</v>
      </c>
      <c r="G230" s="41">
        <f>SUM(G216:G229)</f>
        <v>1246568.7200000002</v>
      </c>
      <c r="H230" s="41">
        <f>SUM(H216:H229)</f>
        <v>444749.61</v>
      </c>
      <c r="I230" s="41">
        <f>SUM(I216:I229)</f>
        <v>173723.11</v>
      </c>
      <c r="J230" s="41">
        <f>SUM(J216:J229)</f>
        <v>66873.899999999994</v>
      </c>
      <c r="K230" s="41">
        <f t="shared" si="3"/>
        <v>13916.68</v>
      </c>
      <c r="L230" s="41">
        <f t="shared" si="3"/>
        <v>4172837.01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1429551.76+27295.11+71993.63</f>
        <v>1528840.5</v>
      </c>
      <c r="G234" s="18">
        <f>822109.99+11957.98+31882.11+31882.11+62532.64</f>
        <v>960364.83</v>
      </c>
      <c r="H234" s="18">
        <f>25586.12+266.09</f>
        <v>25852.21</v>
      </c>
      <c r="I234" s="18">
        <f>43636.28+7107.92+5584.27</f>
        <v>56328.47</v>
      </c>
      <c r="J234" s="18">
        <v>21930.62</v>
      </c>
      <c r="K234" s="18"/>
      <c r="L234" s="19">
        <f>SUM(F234:K234)</f>
        <v>2593316.6300000004</v>
      </c>
      <c r="M234" s="8"/>
      <c r="N234" s="264"/>
    </row>
    <row r="235" spans="1:14" s="3" customFormat="1" ht="12.2" customHeight="1" x14ac:dyDescent="0.15">
      <c r="A235" s="1" t="s">
        <v>439</v>
      </c>
      <c r="B235" s="2" t="s">
        <v>350</v>
      </c>
      <c r="C235" s="2" t="s">
        <v>291</v>
      </c>
      <c r="D235" s="2" t="s">
        <v>431</v>
      </c>
      <c r="E235" s="6">
        <v>1200</v>
      </c>
      <c r="F235" s="18">
        <f>220481.97+27415.53</f>
        <v>247897.5</v>
      </c>
      <c r="G235" s="18">
        <f>107391.45+8473.59</f>
        <v>115865.04</v>
      </c>
      <c r="H235" s="18">
        <v>165196.53</v>
      </c>
      <c r="I235" s="18">
        <f>897.4+446.74</f>
        <v>1344.1399999999999</v>
      </c>
      <c r="J235" s="18">
        <v>269.98</v>
      </c>
      <c r="K235" s="18"/>
      <c r="L235" s="19">
        <f>SUM(F235:K235)</f>
        <v>530573.18999999994</v>
      </c>
      <c r="M235" s="8"/>
      <c r="N235" s="264"/>
    </row>
    <row r="236" spans="1:14" s="3" customFormat="1" ht="12.2" customHeight="1" x14ac:dyDescent="0.15">
      <c r="A236" s="1" t="s">
        <v>440</v>
      </c>
      <c r="B236" s="2" t="s">
        <v>350</v>
      </c>
      <c r="C236" s="2" t="s">
        <v>292</v>
      </c>
      <c r="D236" s="2" t="s">
        <v>431</v>
      </c>
      <c r="E236" s="6">
        <v>1300</v>
      </c>
      <c r="F236" s="18"/>
      <c r="G236" s="18"/>
      <c r="H236" s="18">
        <v>156192</v>
      </c>
      <c r="I236" s="18"/>
      <c r="J236" s="18"/>
      <c r="K236" s="18"/>
      <c r="L236" s="19">
        <f>SUM(F236:K236)</f>
        <v>156192</v>
      </c>
      <c r="M236" s="8"/>
      <c r="N236" s="264"/>
    </row>
    <row r="237" spans="1:14" s="3" customFormat="1" ht="12.2" customHeight="1" x14ac:dyDescent="0.15">
      <c r="A237" s="1" t="s">
        <v>441</v>
      </c>
      <c r="B237" s="2" t="s">
        <v>350</v>
      </c>
      <c r="C237" s="2" t="s">
        <v>293</v>
      </c>
      <c r="D237" s="2" t="s">
        <v>431</v>
      </c>
      <c r="E237" s="6">
        <v>1400</v>
      </c>
      <c r="F237" s="18">
        <v>126517.37</v>
      </c>
      <c r="G237" s="18">
        <v>23466.55</v>
      </c>
      <c r="H237" s="18">
        <v>37857.300000000003</v>
      </c>
      <c r="I237" s="18">
        <v>8198.56</v>
      </c>
      <c r="J237" s="18">
        <v>10812.49</v>
      </c>
      <c r="K237" s="18">
        <v>7141.95</v>
      </c>
      <c r="L237" s="19">
        <f>SUM(F237:K237)</f>
        <v>213994.21999999997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177267.75+108381.11</f>
        <v>285648.86</v>
      </c>
      <c r="G239" s="18">
        <f>128616.05+74609.44</f>
        <v>203225.49</v>
      </c>
      <c r="H239" s="18">
        <v>42488.42</v>
      </c>
      <c r="I239" s="18">
        <f>4910.3+2205.75</f>
        <v>7116.05</v>
      </c>
      <c r="J239" s="18">
        <f>382.58+375.04</f>
        <v>757.62</v>
      </c>
      <c r="K239" s="18">
        <v>52.5</v>
      </c>
      <c r="L239" s="19">
        <f t="shared" ref="L239:L245" si="4">SUM(F239:K239)</f>
        <v>539288.94000000006</v>
      </c>
      <c r="M239" s="8"/>
      <c r="N239" s="264"/>
    </row>
    <row r="240" spans="1:14" s="3" customFormat="1" ht="12.2" customHeight="1" x14ac:dyDescent="0.15">
      <c r="A240" s="1" t="s">
        <v>443</v>
      </c>
      <c r="B240" s="2" t="s">
        <v>350</v>
      </c>
      <c r="C240" s="2" t="s">
        <v>295</v>
      </c>
      <c r="D240" s="2" t="s">
        <v>431</v>
      </c>
      <c r="E240" s="6">
        <v>2200</v>
      </c>
      <c r="F240" s="18">
        <f>35904.66+44450.46</f>
        <v>80355.12</v>
      </c>
      <c r="G240" s="18">
        <f>27105.87+19128.34</f>
        <v>46234.21</v>
      </c>
      <c r="H240" s="18">
        <f>507.59+16592.74</f>
        <v>17100.330000000002</v>
      </c>
      <c r="I240" s="18">
        <f>10546.16+30122.98</f>
        <v>40669.14</v>
      </c>
      <c r="J240" s="18">
        <f>2067.51+57177.42+791.78</f>
        <v>60036.71</v>
      </c>
      <c r="K240" s="18">
        <v>297.51</v>
      </c>
      <c r="L240" s="19">
        <f t="shared" si="4"/>
        <v>244693.02</v>
      </c>
      <c r="M240" s="8"/>
      <c r="N240" s="264"/>
    </row>
    <row r="241" spans="1:14" s="3" customFormat="1" ht="12.2" customHeight="1" x14ac:dyDescent="0.15">
      <c r="A241" s="1" t="s">
        <v>444</v>
      </c>
      <c r="B241" s="2" t="s">
        <v>350</v>
      </c>
      <c r="C241" s="2" t="s">
        <v>296</v>
      </c>
      <c r="D241" s="2" t="s">
        <v>431</v>
      </c>
      <c r="E241" s="6">
        <v>2300</v>
      </c>
      <c r="F241" s="18">
        <v>159632.06</v>
      </c>
      <c r="G241" s="18">
        <v>81440.89</v>
      </c>
      <c r="H241" s="18">
        <v>15437.77</v>
      </c>
      <c r="I241" s="18">
        <v>3117.69</v>
      </c>
      <c r="J241" s="18"/>
      <c r="K241" s="18"/>
      <c r="L241" s="19">
        <f>SUM(F241:K241)</f>
        <v>259628.41</v>
      </c>
      <c r="M241" s="8"/>
      <c r="N241" s="264"/>
    </row>
    <row r="242" spans="1:14" s="3" customFormat="1" ht="12.2" customHeight="1" x14ac:dyDescent="0.15">
      <c r="A242" s="1" t="s">
        <v>445</v>
      </c>
      <c r="B242" s="2" t="s">
        <v>350</v>
      </c>
      <c r="C242" s="2" t="s">
        <v>297</v>
      </c>
      <c r="D242" s="2" t="s">
        <v>431</v>
      </c>
      <c r="E242" s="6">
        <v>2400</v>
      </c>
      <c r="F242" s="18">
        <v>276865.62</v>
      </c>
      <c r="G242" s="18">
        <v>149413.49</v>
      </c>
      <c r="H242" s="18">
        <v>29252.15</v>
      </c>
      <c r="I242" s="18">
        <v>1535.8</v>
      </c>
      <c r="J242" s="18">
        <v>81</v>
      </c>
      <c r="K242" s="18">
        <f>10975.77+4204.26-1358.64</f>
        <v>13821.390000000001</v>
      </c>
      <c r="L242" s="19">
        <f t="shared" si="4"/>
        <v>470969.45</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101966.04+41525.66</f>
        <v>143491.70000000001</v>
      </c>
      <c r="G244" s="18">
        <f>81207.23+20218.69</f>
        <v>101425.92</v>
      </c>
      <c r="H244" s="18">
        <v>104612.63</v>
      </c>
      <c r="I244" s="18">
        <v>105443.46</v>
      </c>
      <c r="J244" s="18">
        <v>2364.58</v>
      </c>
      <c r="K244" s="18"/>
      <c r="L244" s="19">
        <f t="shared" si="4"/>
        <v>457338.29000000004</v>
      </c>
      <c r="M244" s="8"/>
      <c r="N244" s="264"/>
    </row>
    <row r="245" spans="1:14" s="3" customFormat="1" ht="12.2" customHeight="1" x14ac:dyDescent="0.15">
      <c r="A245" s="1" t="s">
        <v>448</v>
      </c>
      <c r="B245" s="2" t="s">
        <v>350</v>
      </c>
      <c r="C245" s="2" t="s">
        <v>300</v>
      </c>
      <c r="D245" s="2" t="s">
        <v>431</v>
      </c>
      <c r="E245" s="6">
        <v>2700</v>
      </c>
      <c r="F245" s="18"/>
      <c r="G245" s="18"/>
      <c r="H245" s="18">
        <f>31509.58+149561.33</f>
        <v>181070.90999999997</v>
      </c>
      <c r="I245" s="18"/>
      <c r="J245" s="18"/>
      <c r="K245" s="18"/>
      <c r="L245" s="19">
        <f t="shared" si="4"/>
        <v>181070.90999999997</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2849248.7300000004</v>
      </c>
      <c r="G248" s="41">
        <f t="shared" si="5"/>
        <v>1681436.4199999997</v>
      </c>
      <c r="H248" s="41">
        <f t="shared" si="5"/>
        <v>775060.25</v>
      </c>
      <c r="I248" s="41">
        <f t="shared" si="5"/>
        <v>223753.31</v>
      </c>
      <c r="J248" s="41">
        <f t="shared" si="5"/>
        <v>96253</v>
      </c>
      <c r="K248" s="41">
        <f t="shared" si="5"/>
        <v>21313.350000000002</v>
      </c>
      <c r="L248" s="41">
        <f t="shared" si="5"/>
        <v>5647065.0600000005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9181338.2599999998</v>
      </c>
      <c r="G258" s="41">
        <f t="shared" si="8"/>
        <v>5150603.8899999997</v>
      </c>
      <c r="H258" s="41">
        <f t="shared" si="8"/>
        <v>2166975.3199999998</v>
      </c>
      <c r="I258" s="41">
        <f t="shared" si="8"/>
        <v>812345.15999999992</v>
      </c>
      <c r="J258" s="41">
        <f t="shared" si="8"/>
        <v>295616.51</v>
      </c>
      <c r="K258" s="41">
        <f t="shared" si="8"/>
        <v>44403.26</v>
      </c>
      <c r="L258" s="41">
        <f t="shared" si="8"/>
        <v>17651282.399999999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820000</v>
      </c>
      <c r="L261" s="19">
        <f>SUM(F261:K261)</f>
        <v>820000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187083.5</f>
        <v>187083.5</v>
      </c>
      <c r="L262" s="19">
        <f>SUM(F262:K262)</f>
        <v>187083.5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37440.57</v>
      </c>
      <c r="L264" s="19">
        <f>SUM(F264:K264)</f>
        <v>37440.57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250000</v>
      </c>
      <c r="L267" s="19">
        <f t="shared" si="9"/>
        <v>250000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J271" si="10">SUM(F261:F270)</f>
        <v>0</v>
      </c>
      <c r="G271" s="42">
        <f t="shared" si="10"/>
        <v>0</v>
      </c>
      <c r="H271" s="42">
        <f t="shared" si="10"/>
        <v>0</v>
      </c>
      <c r="I271" s="42">
        <f t="shared" si="10"/>
        <v>0</v>
      </c>
      <c r="J271" s="42">
        <f t="shared" si="10"/>
        <v>0</v>
      </c>
      <c r="K271" s="42">
        <f>SUM(K261:K270)</f>
        <v>1294524.0699999998</v>
      </c>
      <c r="L271" s="41">
        <f t="shared" si="9"/>
        <v>1294524.0699999998</v>
      </c>
      <c r="M271" s="8"/>
      <c r="N271" s="264"/>
    </row>
    <row r="272" spans="1:14" s="34" customFormat="1" ht="12.2" customHeight="1" thickTop="1" x14ac:dyDescent="0.2">
      <c r="A272" s="43" t="s">
        <v>464</v>
      </c>
      <c r="B272" s="40">
        <v>10</v>
      </c>
      <c r="C272" s="40">
        <v>18</v>
      </c>
      <c r="D272" s="39" t="s">
        <v>431</v>
      </c>
      <c r="E272" s="40"/>
      <c r="F272" s="42">
        <f t="shared" ref="F272:L272" si="11">F258+F271</f>
        <v>9181338.2599999998</v>
      </c>
      <c r="G272" s="42">
        <f t="shared" si="11"/>
        <v>5150603.8899999997</v>
      </c>
      <c r="H272" s="42">
        <f t="shared" si="11"/>
        <v>2166975.3199999998</v>
      </c>
      <c r="I272" s="42">
        <f t="shared" si="11"/>
        <v>812345.15999999992</v>
      </c>
      <c r="J272" s="42">
        <f t="shared" si="11"/>
        <v>295616.51</v>
      </c>
      <c r="K272" s="42">
        <f t="shared" si="11"/>
        <v>1338927.3299999998</v>
      </c>
      <c r="L272" s="42">
        <f t="shared" si="11"/>
        <v>18945806.469999999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150926.72+37301.4</f>
        <v>188228.12</v>
      </c>
      <c r="G277" s="18">
        <f>15988.48+7611.46</f>
        <v>23599.94</v>
      </c>
      <c r="H277" s="18"/>
      <c r="I277" s="18">
        <f>1896.39+3298.1+3734.03</f>
        <v>8928.52</v>
      </c>
      <c r="J277" s="18"/>
      <c r="K277" s="18">
        <v>3337.44</v>
      </c>
      <c r="L277" s="19">
        <f>SUM(F277:K277)</f>
        <v>224094.02</v>
      </c>
      <c r="M277" s="8"/>
      <c r="N277" s="264"/>
    </row>
    <row r="278" spans="1:14" s="3" customFormat="1" ht="12.2" customHeight="1" x14ac:dyDescent="0.15">
      <c r="A278" s="1" t="s">
        <v>439</v>
      </c>
      <c r="B278" s="2" t="s">
        <v>357</v>
      </c>
      <c r="C278" s="2" t="s">
        <v>291</v>
      </c>
      <c r="D278" s="2" t="s">
        <v>431</v>
      </c>
      <c r="E278" s="6">
        <v>1200</v>
      </c>
      <c r="F278" s="18">
        <v>65703</v>
      </c>
      <c r="G278" s="18">
        <v>4688.7</v>
      </c>
      <c r="H278" s="18"/>
      <c r="I278" s="18">
        <v>399.84</v>
      </c>
      <c r="J278" s="18">
        <v>2462.2800000000002</v>
      </c>
      <c r="K278" s="18"/>
      <c r="L278" s="19">
        <f>SUM(F278:K278)</f>
        <v>73253.819999999992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16187.29+18428.6</f>
        <v>34615.89</v>
      </c>
      <c r="G282" s="18">
        <f>1189.09+1287.66</f>
        <v>2476.75</v>
      </c>
      <c r="H282" s="18"/>
      <c r="I282" s="18"/>
      <c r="J282" s="18"/>
      <c r="K282" s="18"/>
      <c r="L282" s="19">
        <f t="shared" ref="L282:L288" si="12">SUM(F282:K282)</f>
        <v>37092.639999999999</v>
      </c>
      <c r="M282" s="8"/>
      <c r="N282" s="264"/>
    </row>
    <row r="283" spans="1:14" s="3" customFormat="1" ht="12.2" customHeight="1" x14ac:dyDescent="0.15">
      <c r="A283" s="1" t="s">
        <v>443</v>
      </c>
      <c r="B283" s="2" t="s">
        <v>357</v>
      </c>
      <c r="C283" s="2" t="s">
        <v>295</v>
      </c>
      <c r="D283" s="2" t="s">
        <v>431</v>
      </c>
      <c r="E283" s="6">
        <v>2200</v>
      </c>
      <c r="F283" s="18">
        <f>1250+2740.23+9092.73</f>
        <v>13082.96</v>
      </c>
      <c r="G283" s="18">
        <f>316.34+798.72+842.1</f>
        <v>1957.1599999999999</v>
      </c>
      <c r="H283" s="18">
        <f>3000+976.84+10149+3128.29</f>
        <v>17254.13</v>
      </c>
      <c r="I283" s="18">
        <f>2268.18+5191.21</f>
        <v>7459.3899999999994</v>
      </c>
      <c r="J283" s="18">
        <v>47730.46</v>
      </c>
      <c r="K283" s="18"/>
      <c r="L283" s="19">
        <f t="shared" si="12"/>
        <v>87484.1</v>
      </c>
      <c r="M283" s="8"/>
      <c r="N283" s="264"/>
    </row>
    <row r="284" spans="1:14" s="3" customFormat="1" ht="12.2" customHeight="1" x14ac:dyDescent="0.15">
      <c r="A284" s="1" t="s">
        <v>444</v>
      </c>
      <c r="B284" s="2" t="s">
        <v>357</v>
      </c>
      <c r="C284" s="2" t="s">
        <v>296</v>
      </c>
      <c r="D284" s="2" t="s">
        <v>431</v>
      </c>
      <c r="E284" s="6">
        <v>2300</v>
      </c>
      <c r="F284" s="18">
        <v>483.7</v>
      </c>
      <c r="G284" s="18"/>
      <c r="H284" s="18"/>
      <c r="I284" s="18"/>
      <c r="J284" s="18"/>
      <c r="K284" s="18"/>
      <c r="L284" s="19">
        <f t="shared" si="12"/>
        <v>483.7</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2309.56</v>
      </c>
      <c r="G287" s="18">
        <v>434.66</v>
      </c>
      <c r="H287" s="18">
        <f>95929.82</f>
        <v>95929.82</v>
      </c>
      <c r="I287" s="18">
        <v>41703.199999999997</v>
      </c>
      <c r="J287" s="18"/>
      <c r="K287" s="18"/>
      <c r="L287" s="19">
        <f t="shared" si="12"/>
        <v>140377.24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304423.23000000004</v>
      </c>
      <c r="G291" s="42">
        <f t="shared" si="13"/>
        <v>33157.21</v>
      </c>
      <c r="H291" s="42">
        <f t="shared" si="13"/>
        <v>113183.95000000001</v>
      </c>
      <c r="I291" s="42">
        <f t="shared" si="13"/>
        <v>58490.95</v>
      </c>
      <c r="J291" s="42">
        <f t="shared" si="13"/>
        <v>50192.74</v>
      </c>
      <c r="K291" s="42">
        <f t="shared" si="13"/>
        <v>3337.44</v>
      </c>
      <c r="L291" s="41">
        <f t="shared" si="13"/>
        <v>562785.52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33466.57+16090.8</f>
        <v>49557.369999999995</v>
      </c>
      <c r="G296" s="18">
        <f>8650.13+3283.38</f>
        <v>11933.509999999998</v>
      </c>
      <c r="H296" s="18"/>
      <c r="I296" s="18">
        <f>1422.71+1610.76+1827.19</f>
        <v>4860.66</v>
      </c>
      <c r="J296" s="18"/>
      <c r="K296" s="18">
        <f>1439.68+3453</f>
        <v>4892.68</v>
      </c>
      <c r="L296" s="19">
        <f>SUM(F296:K296)</f>
        <v>71244.22</v>
      </c>
      <c r="M296" s="8"/>
      <c r="N296" s="264"/>
    </row>
    <row r="297" spans="1:14" s="3" customFormat="1" ht="12.2" customHeight="1" x14ac:dyDescent="0.15">
      <c r="A297" s="1" t="s">
        <v>439</v>
      </c>
      <c r="B297" s="2" t="s">
        <v>358</v>
      </c>
      <c r="C297" s="2" t="s">
        <v>291</v>
      </c>
      <c r="D297" s="2" t="s">
        <v>431</v>
      </c>
      <c r="E297" s="6">
        <v>1200</v>
      </c>
      <c r="F297" s="18"/>
      <c r="G297" s="18"/>
      <c r="H297" s="18"/>
      <c r="I297" s="18">
        <v>172.48</v>
      </c>
      <c r="J297" s="18">
        <v>1062.1600000000001</v>
      </c>
      <c r="K297" s="18"/>
      <c r="L297" s="19">
        <f>SUM(F297:K297)</f>
        <v>1234.6400000000001</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7949.59+860.86</f>
        <v>8810.4500000000007</v>
      </c>
      <c r="G301" s="18">
        <f>555.46+263.91</f>
        <v>819.37000000000012</v>
      </c>
      <c r="H301" s="18">
        <f>421.38+4378</f>
        <v>4799.38</v>
      </c>
      <c r="I301" s="18"/>
      <c r="J301" s="18"/>
      <c r="K301" s="18"/>
      <c r="L301" s="19">
        <f t="shared" ref="L301:L307" si="14">SUM(F301:K301)</f>
        <v>14429.2</v>
      </c>
      <c r="M301" s="8"/>
      <c r="N301" s="264"/>
    </row>
    <row r="302" spans="1:14" s="3" customFormat="1" ht="12.2" customHeight="1" x14ac:dyDescent="0.15">
      <c r="A302" s="1" t="s">
        <v>443</v>
      </c>
      <c r="B302" s="2" t="s">
        <v>358</v>
      </c>
      <c r="C302" s="2" t="s">
        <v>295</v>
      </c>
      <c r="D302" s="2" t="s">
        <v>431</v>
      </c>
      <c r="E302" s="6">
        <v>2200</v>
      </c>
      <c r="F302" s="18">
        <f>3922.36+1182.06</f>
        <v>5104.42</v>
      </c>
      <c r="G302" s="18">
        <f>363.26+344.55</f>
        <v>707.81</v>
      </c>
      <c r="H302" s="18">
        <v>1349.46</v>
      </c>
      <c r="I302" s="18">
        <v>2239.35</v>
      </c>
      <c r="J302" s="18">
        <v>20589.61</v>
      </c>
      <c r="K302" s="18"/>
      <c r="L302" s="19">
        <f t="shared" si="14"/>
        <v>29990.65</v>
      </c>
      <c r="M302" s="8"/>
      <c r="N302" s="264"/>
    </row>
    <row r="303" spans="1:14" s="3" customFormat="1" ht="12.2" customHeight="1" x14ac:dyDescent="0.15">
      <c r="A303" s="1" t="s">
        <v>444</v>
      </c>
      <c r="B303" s="2" t="s">
        <v>358</v>
      </c>
      <c r="C303" s="2" t="s">
        <v>296</v>
      </c>
      <c r="D303" s="2" t="s">
        <v>431</v>
      </c>
      <c r="E303" s="6">
        <v>2300</v>
      </c>
      <c r="F303" s="18">
        <v>208.65</v>
      </c>
      <c r="G303" s="18"/>
      <c r="H303" s="18"/>
      <c r="I303" s="18"/>
      <c r="J303" s="18"/>
      <c r="K303" s="18"/>
      <c r="L303" s="19">
        <f t="shared" si="14"/>
        <v>208.65</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996.28</v>
      </c>
      <c r="G306" s="18">
        <v>187.5</v>
      </c>
      <c r="H306" s="18">
        <f>5080.94+36300.55</f>
        <v>41381.490000000005</v>
      </c>
      <c r="I306" s="18">
        <v>17989.62</v>
      </c>
      <c r="J306" s="18"/>
      <c r="K306" s="18"/>
      <c r="L306" s="19">
        <f t="shared" si="14"/>
        <v>60554.89</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64677.169999999991</v>
      </c>
      <c r="G310" s="42">
        <f t="shared" si="15"/>
        <v>13648.189999999999</v>
      </c>
      <c r="H310" s="42">
        <f t="shared" si="15"/>
        <v>47530.33</v>
      </c>
      <c r="I310" s="42">
        <f t="shared" si="15"/>
        <v>25262.11</v>
      </c>
      <c r="J310" s="42">
        <f t="shared" si="15"/>
        <v>21651.77</v>
      </c>
      <c r="K310" s="42">
        <f t="shared" si="15"/>
        <v>4892.68</v>
      </c>
      <c r="L310" s="41">
        <f t="shared" si="15"/>
        <v>177662.25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46324.36+19747.8+6119.44</f>
        <v>72191.600000000006</v>
      </c>
      <c r="G315" s="18">
        <f>9194.82+4029.6</f>
        <v>13224.42</v>
      </c>
      <c r="H315" s="18"/>
      <c r="I315" s="18">
        <f>1746.05+1976.84</f>
        <v>3722.89</v>
      </c>
      <c r="J315" s="18"/>
      <c r="K315" s="18">
        <v>1766.88</v>
      </c>
      <c r="L315" s="19">
        <f>SUM(F315:K315)</f>
        <v>90905.790000000008</v>
      </c>
      <c r="M315" s="8"/>
      <c r="N315" s="264"/>
    </row>
    <row r="316" spans="1:14" s="3" customFormat="1" ht="12.2" customHeight="1" x14ac:dyDescent="0.15">
      <c r="A316" s="1" t="s">
        <v>439</v>
      </c>
      <c r="B316" s="2" t="s">
        <v>359</v>
      </c>
      <c r="C316" s="2" t="s">
        <v>291</v>
      </c>
      <c r="D316" s="2" t="s">
        <v>431</v>
      </c>
      <c r="E316" s="6">
        <v>1200</v>
      </c>
      <c r="F316" s="18"/>
      <c r="G316" s="18"/>
      <c r="H316" s="18"/>
      <c r="I316" s="18">
        <v>211.68</v>
      </c>
      <c r="J316" s="18">
        <v>1303.56</v>
      </c>
      <c r="K316" s="18"/>
      <c r="L316" s="19">
        <f>SUM(F316:K316)</f>
        <v>1515.24</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v>478.8</v>
      </c>
      <c r="J318" s="18"/>
      <c r="K318" s="18"/>
      <c r="L318" s="19">
        <f>SUM(F318:K318)</f>
        <v>478.8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35135.4+9756.32</f>
        <v>44891.72</v>
      </c>
      <c r="G320" s="18">
        <f>2687.73+681.7</f>
        <v>3369.4300000000003</v>
      </c>
      <c r="H320" s="18">
        <v>517.15</v>
      </c>
      <c r="I320" s="18"/>
      <c r="J320" s="18"/>
      <c r="K320" s="18"/>
      <c r="L320" s="19">
        <f t="shared" ref="L320:L326" si="16">SUM(F320:K320)</f>
        <v>48778.3</v>
      </c>
      <c r="M320" s="8"/>
      <c r="N320" s="264"/>
    </row>
    <row r="321" spans="1:14" s="3" customFormat="1" ht="12.2" customHeight="1" x14ac:dyDescent="0.15">
      <c r="A321" s="1" t="s">
        <v>443</v>
      </c>
      <c r="B321" s="2" t="s">
        <v>359</v>
      </c>
      <c r="C321" s="2" t="s">
        <v>295</v>
      </c>
      <c r="D321" s="2" t="s">
        <v>431</v>
      </c>
      <c r="E321" s="6">
        <v>2200</v>
      </c>
      <c r="F321" s="18">
        <f>1450.71+4813.8</f>
        <v>6264.51</v>
      </c>
      <c r="G321" s="18">
        <f>422.85+410.06+177.55+246.36</f>
        <v>1256.8200000000002</v>
      </c>
      <c r="H321" s="18">
        <f>5373+1656.15</f>
        <v>7029.15</v>
      </c>
      <c r="I321" s="18">
        <v>2748.29</v>
      </c>
      <c r="J321" s="18">
        <v>25269.07</v>
      </c>
      <c r="K321" s="18"/>
      <c r="L321" s="19">
        <f t="shared" si="16"/>
        <v>42567.839999999997</v>
      </c>
      <c r="M321" s="8"/>
      <c r="N321" s="264"/>
    </row>
    <row r="322" spans="1:14" s="3" customFormat="1" ht="12.2" customHeight="1" x14ac:dyDescent="0.15">
      <c r="A322" s="1" t="s">
        <v>444</v>
      </c>
      <c r="B322" s="2" t="s">
        <v>359</v>
      </c>
      <c r="C322" s="2" t="s">
        <v>296</v>
      </c>
      <c r="D322" s="2" t="s">
        <v>431</v>
      </c>
      <c r="E322" s="6">
        <v>2300</v>
      </c>
      <c r="F322" s="18">
        <v>256.08</v>
      </c>
      <c r="G322" s="18"/>
      <c r="H322" s="18"/>
      <c r="I322" s="18"/>
      <c r="J322" s="18"/>
      <c r="K322" s="18"/>
      <c r="L322" s="19">
        <f t="shared" si="16"/>
        <v>256.08</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1222.71</v>
      </c>
      <c r="G325" s="18">
        <v>230.12</v>
      </c>
      <c r="H325" s="18">
        <f>6235.7+44550.68</f>
        <v>50786.38</v>
      </c>
      <c r="I325" s="18">
        <v>22078.17</v>
      </c>
      <c r="J325" s="18"/>
      <c r="K325" s="18"/>
      <c r="L325" s="19">
        <f t="shared" si="16"/>
        <v>74317.38</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124826.62000000001</v>
      </c>
      <c r="G329" s="42">
        <f t="shared" si="17"/>
        <v>18080.789999999997</v>
      </c>
      <c r="H329" s="42">
        <f t="shared" si="17"/>
        <v>58332.679999999993</v>
      </c>
      <c r="I329" s="42">
        <f t="shared" si="17"/>
        <v>29239.829999999998</v>
      </c>
      <c r="J329" s="42">
        <f t="shared" si="17"/>
        <v>26572.63</v>
      </c>
      <c r="K329" s="42">
        <f t="shared" si="17"/>
        <v>1766.88</v>
      </c>
      <c r="L329" s="41">
        <f t="shared" si="17"/>
        <v>258819.43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493927.02</v>
      </c>
      <c r="G339" s="41">
        <f t="shared" si="20"/>
        <v>64886.189999999988</v>
      </c>
      <c r="H339" s="41">
        <f t="shared" si="20"/>
        <v>219046.96000000002</v>
      </c>
      <c r="I339" s="41">
        <f t="shared" si="20"/>
        <v>112992.89</v>
      </c>
      <c r="J339" s="41">
        <f t="shared" si="20"/>
        <v>98417.14</v>
      </c>
      <c r="K339" s="41">
        <f t="shared" si="20"/>
        <v>9997</v>
      </c>
      <c r="L339" s="41">
        <f t="shared" si="20"/>
        <v>999267.2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493927.02</v>
      </c>
      <c r="G353" s="41">
        <f>G339</f>
        <v>64886.189999999988</v>
      </c>
      <c r="H353" s="41">
        <f>H339</f>
        <v>219046.96000000002</v>
      </c>
      <c r="I353" s="41">
        <f>I339</f>
        <v>112992.89</v>
      </c>
      <c r="J353" s="41">
        <f>J339</f>
        <v>98417.14</v>
      </c>
      <c r="K353" s="47">
        <f>K339+K352</f>
        <v>9997</v>
      </c>
      <c r="L353" s="41">
        <f>L339+L352</f>
        <v>999267.2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60409.51</v>
      </c>
      <c r="G359" s="18">
        <v>19379.62</v>
      </c>
      <c r="H359" s="18"/>
      <c r="I359" s="18">
        <f>23147.28+28682.48</f>
        <v>51829.759999999995</v>
      </c>
      <c r="J359" s="18"/>
      <c r="K359" s="18">
        <v>1331.37</v>
      </c>
      <c r="L359" s="13">
        <f>SUM(F359:K359)</f>
        <v>132950.26</v>
      </c>
      <c r="M359" s="8"/>
      <c r="N359" s="264"/>
    </row>
    <row r="360" spans="1:22" s="3" customFormat="1" ht="12.2" customHeight="1" x14ac:dyDescent="0.15">
      <c r="A360" s="1" t="s">
        <v>542</v>
      </c>
      <c r="B360" s="2" t="s">
        <v>366</v>
      </c>
      <c r="C360" s="6">
        <v>2</v>
      </c>
      <c r="D360" s="2" t="s">
        <v>431</v>
      </c>
      <c r="E360" s="6"/>
      <c r="F360" s="18">
        <v>38559.71</v>
      </c>
      <c r="G360" s="18">
        <f>10914.04+400</f>
        <v>11314.04</v>
      </c>
      <c r="H360" s="18"/>
      <c r="I360" s="18">
        <v>14380</v>
      </c>
      <c r="J360" s="18"/>
      <c r="K360" s="18"/>
      <c r="L360" s="19">
        <f>SUM(F360:K360)</f>
        <v>64253.75</v>
      </c>
      <c r="M360" s="8"/>
      <c r="N360" s="264"/>
    </row>
    <row r="361" spans="1:22" s="3" customFormat="1" ht="12.2" customHeight="1" x14ac:dyDescent="0.15">
      <c r="A361" s="3" t="s">
        <v>543</v>
      </c>
      <c r="B361" s="2" t="s">
        <v>366</v>
      </c>
      <c r="C361" s="6">
        <v>3</v>
      </c>
      <c r="D361" s="2" t="s">
        <v>431</v>
      </c>
      <c r="E361" s="6"/>
      <c r="F361" s="18">
        <v>38783.01</v>
      </c>
      <c r="G361" s="18">
        <v>10943.26</v>
      </c>
      <c r="H361" s="18">
        <v>1677.35</v>
      </c>
      <c r="I361" s="18">
        <f>15723.92+312.25</f>
        <v>16036.17</v>
      </c>
      <c r="J361" s="18"/>
      <c r="K361" s="18"/>
      <c r="L361" s="19">
        <f>SUM(F361:K361)</f>
        <v>67439.790000000008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137752.23000000001</v>
      </c>
      <c r="G363" s="47">
        <f t="shared" si="22"/>
        <v>41636.92</v>
      </c>
      <c r="H363" s="47">
        <f t="shared" si="22"/>
        <v>1677.35</v>
      </c>
      <c r="I363" s="47">
        <f t="shared" si="22"/>
        <v>82245.929999999993</v>
      </c>
      <c r="J363" s="47">
        <f t="shared" si="22"/>
        <v>0</v>
      </c>
      <c r="K363" s="47">
        <f t="shared" si="22"/>
        <v>1331.37</v>
      </c>
      <c r="L363" s="47">
        <f t="shared" si="22"/>
        <v>264643.80000000005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21303.35</v>
      </c>
      <c r="G368" s="18">
        <f>13538.89+134.79</f>
        <v>13673.68</v>
      </c>
      <c r="H368" s="18">
        <f>13525.13+6606.64+1492.41</f>
        <v>21624.18</v>
      </c>
      <c r="I368" s="56">
        <f>SUM(F368:H368)</f>
        <v>56601.21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1843.93+10278.4</f>
        <v>12122.33</v>
      </c>
      <c r="G369" s="63">
        <f>706.32+4433.82</f>
        <v>5140.1399999999994</v>
      </c>
      <c r="H369" s="63">
        <f>706.38+385.19+1584-47.08+5441.51+312.25</f>
        <v>8382.25</v>
      </c>
      <c r="I369" s="56">
        <f>SUM(F369:H369)</f>
        <v>25644.720000000001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33425.68</v>
      </c>
      <c r="G370" s="47">
        <f>SUM(G368:G369)</f>
        <v>18813.82</v>
      </c>
      <c r="H370" s="47">
        <f>SUM(H368:H369)</f>
        <v>30006.43</v>
      </c>
      <c r="I370" s="47">
        <f>SUM(I368:I369)</f>
        <v>82245.929999999993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v>429450.55</v>
      </c>
      <c r="K379" s="18"/>
      <c r="L379" s="13">
        <f t="shared" si="23"/>
        <v>429450.55</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429450.55</v>
      </c>
      <c r="K383" s="47">
        <f t="shared" si="24"/>
        <v>0</v>
      </c>
      <c r="L383" s="47">
        <f t="shared" si="24"/>
        <v>429450.55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200000</v>
      </c>
      <c r="H389" s="18">
        <v>954.95</v>
      </c>
      <c r="I389" s="18"/>
      <c r="J389" s="24" t="s">
        <v>288</v>
      </c>
      <c r="K389" s="24" t="s">
        <v>288</v>
      </c>
      <c r="L389" s="56">
        <f t="shared" si="25"/>
        <v>200954.95</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200000</v>
      </c>
      <c r="H394" s="139">
        <f>SUM(H388:H393)</f>
        <v>954.95</v>
      </c>
      <c r="I394" s="65">
        <f>SUM(I388:I393)</f>
        <v>0</v>
      </c>
      <c r="J394" s="45" t="s">
        <v>288</v>
      </c>
      <c r="K394" s="45" t="s">
        <v>288</v>
      </c>
      <c r="L394" s="47">
        <f>SUM(L388:L393)</f>
        <v>200954.95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50000</v>
      </c>
      <c r="H398" s="18">
        <v>317.57</v>
      </c>
      <c r="I398" s="18"/>
      <c r="J398" s="24" t="s">
        <v>288</v>
      </c>
      <c r="K398" s="24" t="s">
        <v>288</v>
      </c>
      <c r="L398" s="56">
        <f t="shared" si="26"/>
        <v>50317.57</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317.57</v>
      </c>
      <c r="I402" s="47">
        <f>SUM(I396:I401)</f>
        <v>0</v>
      </c>
      <c r="J402" s="45" t="s">
        <v>288</v>
      </c>
      <c r="K402" s="45" t="s">
        <v>288</v>
      </c>
      <c r="L402" s="47">
        <f>SUM(L396:L401)</f>
        <v>50317.57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250000</v>
      </c>
      <c r="H409" s="47">
        <f>H394+H402+H408</f>
        <v>1272.52</v>
      </c>
      <c r="I409" s="47">
        <f>I394+I402+I408</f>
        <v>0</v>
      </c>
      <c r="J409" s="24" t="s">
        <v>288</v>
      </c>
      <c r="K409" s="24" t="s">
        <v>288</v>
      </c>
      <c r="L409" s="47">
        <f>L394+L402+L408</f>
        <v>251272.52000000002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493000</v>
      </c>
      <c r="L415" s="56">
        <f t="shared" si="27"/>
        <v>493000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493000</v>
      </c>
      <c r="L420" s="47">
        <f t="shared" si="28"/>
        <v>493000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493000</v>
      </c>
      <c r="L435" s="47">
        <f t="shared" si="32"/>
        <v>493000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366160.04</v>
      </c>
      <c r="G441" s="18"/>
      <c r="H441" s="18"/>
      <c r="I441" s="56">
        <f t="shared" si="33"/>
        <v>366160.04</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366160.04</v>
      </c>
      <c r="G447" s="13">
        <f>SUM(G440:G446)</f>
        <v>0</v>
      </c>
      <c r="H447" s="13">
        <f>SUM(H440:H446)</f>
        <v>0</v>
      </c>
      <c r="I447" s="13">
        <f>SUM(I440:I446)</f>
        <v>366160.04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366160.04</v>
      </c>
      <c r="G460" s="18"/>
      <c r="H460" s="18"/>
      <c r="I460" s="56">
        <f t="shared" si="34"/>
        <v>366160.04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366160.04</v>
      </c>
      <c r="G461" s="83">
        <f>SUM(G455:G460)</f>
        <v>0</v>
      </c>
      <c r="H461" s="83">
        <f>SUM(H455:H460)</f>
        <v>0</v>
      </c>
      <c r="I461" s="83">
        <f>SUM(I455:I460)</f>
        <v>366160.04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366160.04</v>
      </c>
      <c r="G462" s="42">
        <f>G453+G461</f>
        <v>0</v>
      </c>
      <c r="H462" s="42">
        <f>H453+H461</f>
        <v>0</v>
      </c>
      <c r="I462" s="42">
        <f>I453+I461</f>
        <v>366160.04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793861.67</v>
      </c>
      <c r="G466" s="18">
        <v>-0.55000000000000004</v>
      </c>
      <c r="H466" s="18">
        <v>-0.1</v>
      </c>
      <c r="I466" s="18">
        <v>-0.18</v>
      </c>
      <c r="J466" s="18">
        <v>607887.52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20156942.489999998</v>
      </c>
      <c r="G469" s="18">
        <v>264644.34999999998</v>
      </c>
      <c r="H469" s="18">
        <v>999267.2</v>
      </c>
      <c r="I469" s="18">
        <f>141431.25+288019.3</f>
        <v>429450.55</v>
      </c>
      <c r="J469" s="18">
        <v>251272.52</v>
      </c>
      <c r="K469" s="24" t="s">
        <v>288</v>
      </c>
      <c r="L469" s="24" t="s">
        <v>288</v>
      </c>
      <c r="N469" s="263"/>
    </row>
    <row r="470" spans="1:14" s="52" customFormat="1" ht="12.2" customHeight="1" x14ac:dyDescent="0.2">
      <c r="A470" s="93" t="s">
        <v>611</v>
      </c>
      <c r="B470" s="75">
        <v>19</v>
      </c>
      <c r="C470" s="80">
        <v>3</v>
      </c>
      <c r="D470" s="2" t="s">
        <v>432</v>
      </c>
      <c r="E470" s="80"/>
      <c r="F470" s="18"/>
      <c r="G470" s="18"/>
      <c r="H470" s="18">
        <v>3.91</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20156942.489999998</v>
      </c>
      <c r="G471" s="53">
        <f>SUM(G469:G470)</f>
        <v>264644.34999999998</v>
      </c>
      <c r="H471" s="53">
        <f>SUM(H469:H470)</f>
        <v>999271.11</v>
      </c>
      <c r="I471" s="53">
        <f>SUM(I469:I470)</f>
        <v>429450.55</v>
      </c>
      <c r="J471" s="53">
        <f>SUM(J469:J470)</f>
        <v>251272.52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18945806.47</f>
        <v>18945806.469999999</v>
      </c>
      <c r="G473" s="18">
        <v>264643.8</v>
      </c>
      <c r="H473" s="18">
        <v>999267.2</v>
      </c>
      <c r="I473" s="18">
        <v>429450.55</v>
      </c>
      <c r="J473" s="18">
        <v>493000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18945806.469999999</v>
      </c>
      <c r="G475" s="53">
        <f>SUM(G473:G474)</f>
        <v>264643.8</v>
      </c>
      <c r="H475" s="53">
        <f>SUM(H473:H474)</f>
        <v>999267.2</v>
      </c>
      <c r="I475" s="53">
        <f>SUM(I473:I474)</f>
        <v>429450.55</v>
      </c>
      <c r="J475" s="53">
        <f>SUM(J473:J474)</f>
        <v>493000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2004997.6900000013</v>
      </c>
      <c r="G477" s="53">
        <f>(G466+G471)- G475</f>
        <v>0</v>
      </c>
      <c r="H477" s="53">
        <f>(H466+H471)- H475</f>
        <v>3.8100000000558794</v>
      </c>
      <c r="I477" s="53">
        <f>(I466+I471)- I475</f>
        <v>-0.17999999999301508</v>
      </c>
      <c r="J477" s="53">
        <f>(J466+J471)- J475</f>
        <v>366160.04000000004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12072350</v>
      </c>
      <c r="G494" s="18">
        <v>974600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4.13</v>
      </c>
      <c r="G495" s="18">
        <v>2.57</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4835000</v>
      </c>
      <c r="G496" s="18">
        <v>870000</v>
      </c>
      <c r="H496" s="18"/>
      <c r="I496" s="18"/>
      <c r="J496" s="18"/>
      <c r="K496" s="53">
        <f>SUM(F496:J496)</f>
        <v>5705000</v>
      </c>
      <c r="L496" s="24" t="s">
        <v>288</v>
      </c>
      <c r="N496" s="263"/>
    </row>
    <row r="497" spans="1:14" s="52" customFormat="1" ht="12.2" customHeight="1" x14ac:dyDescent="0.2">
      <c r="A497" s="22" t="s">
        <v>620</v>
      </c>
      <c r="B497" s="75">
        <v>20</v>
      </c>
      <c r="C497" s="115">
        <v>7</v>
      </c>
      <c r="D497" s="2" t="s">
        <v>432</v>
      </c>
      <c r="E497" s="115"/>
      <c r="F497" s="18">
        <v>720000</v>
      </c>
      <c r="G497" s="18">
        <v>100000</v>
      </c>
      <c r="H497" s="18"/>
      <c r="I497" s="18"/>
      <c r="J497" s="18"/>
      <c r="K497" s="53">
        <f t="shared" ref="K497:K504" si="35">SUM(F497:J497)</f>
        <v>820000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4115000</v>
      </c>
      <c r="G499" s="204">
        <v>770000</v>
      </c>
      <c r="H499" s="204"/>
      <c r="I499" s="204"/>
      <c r="J499" s="204"/>
      <c r="K499" s="205">
        <f t="shared" si="35"/>
        <v>4885000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4115000</v>
      </c>
      <c r="G501" s="42">
        <f>SUM(G499:G500)</f>
        <v>770000</v>
      </c>
      <c r="H501" s="42">
        <f>SUM(H499:H500)</f>
        <v>0</v>
      </c>
      <c r="I501" s="42">
        <f>SUM(I499:I500)</f>
        <v>0</v>
      </c>
      <c r="J501" s="42">
        <f>SUM(J499:J500)</f>
        <v>0</v>
      </c>
      <c r="K501" s="42">
        <f t="shared" si="35"/>
        <v>4885000</v>
      </c>
      <c r="L501" s="45" t="s">
        <v>288</v>
      </c>
      <c r="N501" s="263"/>
    </row>
    <row r="502" spans="1:14" s="52" customFormat="1" ht="12.2" customHeight="1" x14ac:dyDescent="0.2">
      <c r="A502" s="200" t="s">
        <v>651</v>
      </c>
      <c r="B502" s="201">
        <v>20</v>
      </c>
      <c r="C502" s="202">
        <v>12</v>
      </c>
      <c r="D502" s="203" t="s">
        <v>432</v>
      </c>
      <c r="E502" s="202"/>
      <c r="F502" s="204">
        <v>755000</v>
      </c>
      <c r="G502" s="204">
        <v>100000</v>
      </c>
      <c r="H502" s="204"/>
      <c r="I502" s="204"/>
      <c r="J502" s="204"/>
      <c r="K502" s="205">
        <f t="shared" si="35"/>
        <v>855000</v>
      </c>
      <c r="L502" s="206" t="s">
        <v>288</v>
      </c>
      <c r="N502" s="263"/>
    </row>
    <row r="503" spans="1:14" s="52" customFormat="1" ht="12.2" customHeight="1" thickBot="1" x14ac:dyDescent="0.25">
      <c r="A503" s="22" t="s">
        <v>625</v>
      </c>
      <c r="B503" s="75">
        <v>20</v>
      </c>
      <c r="C503" s="115">
        <v>13</v>
      </c>
      <c r="D503" s="2" t="s">
        <v>432</v>
      </c>
      <c r="E503" s="115"/>
      <c r="F503" s="18">
        <v>114099.75</v>
      </c>
      <c r="G503" s="18">
        <v>36720</v>
      </c>
      <c r="H503" s="18"/>
      <c r="I503" s="18"/>
      <c r="J503" s="18"/>
      <c r="K503" s="53">
        <f t="shared" si="35"/>
        <v>150819.75</v>
      </c>
      <c r="L503" s="24" t="s">
        <v>288</v>
      </c>
      <c r="N503" s="263"/>
    </row>
    <row r="504" spans="1:14" s="52" customFormat="1" ht="12.2" customHeight="1" thickTop="1" x14ac:dyDescent="0.2">
      <c r="A504" s="139" t="s">
        <v>626</v>
      </c>
      <c r="B504" s="44">
        <v>20</v>
      </c>
      <c r="C504" s="195">
        <v>14</v>
      </c>
      <c r="D504" s="39" t="s">
        <v>432</v>
      </c>
      <c r="E504" s="195"/>
      <c r="F504" s="42">
        <f>SUM(F502:F503)</f>
        <v>869099.75</v>
      </c>
      <c r="G504" s="42">
        <f>SUM(G502:G503)</f>
        <v>136720</v>
      </c>
      <c r="H504" s="42">
        <f>SUM(H502:H503)</f>
        <v>0</v>
      </c>
      <c r="I504" s="42">
        <f>SUM(I502:I503)</f>
        <v>0</v>
      </c>
      <c r="J504" s="42">
        <f>SUM(J502:J503)</f>
        <v>0</v>
      </c>
      <c r="K504" s="42">
        <f t="shared" si="35"/>
        <v>1005819.75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608200.46+183238.51</f>
        <v>791438.97</v>
      </c>
      <c r="G522" s="18">
        <v>395321.95</v>
      </c>
      <c r="H522" s="18">
        <v>0</v>
      </c>
      <c r="I522" s="18">
        <v>7400.3</v>
      </c>
      <c r="J522" s="18">
        <v>1140.6199999999999</v>
      </c>
      <c r="K522" s="18"/>
      <c r="L522" s="88">
        <f>SUM(F522:K522)</f>
        <v>1195301.8400000001</v>
      </c>
      <c r="N522" s="263"/>
    </row>
    <row r="523" spans="1:14" s="52" customFormat="1" ht="12.2" customHeight="1" x14ac:dyDescent="0.2">
      <c r="A523" s="22" t="s">
        <v>634</v>
      </c>
      <c r="B523" s="105">
        <v>21</v>
      </c>
      <c r="C523" s="115">
        <v>2</v>
      </c>
      <c r="D523" s="2" t="s">
        <v>432</v>
      </c>
      <c r="E523" s="115"/>
      <c r="F523" s="18">
        <v>293089.02</v>
      </c>
      <c r="G523" s="18">
        <v>179726.99</v>
      </c>
      <c r="H523" s="18">
        <v>0</v>
      </c>
      <c r="I523" s="18">
        <v>4063.13</v>
      </c>
      <c r="J523" s="18">
        <v>448.32</v>
      </c>
      <c r="K523" s="18"/>
      <c r="L523" s="88">
        <f>SUM(F523:K523)</f>
        <v>477327.46</v>
      </c>
      <c r="N523" s="263"/>
    </row>
    <row r="524" spans="1:14" s="52" customFormat="1" ht="12.2" customHeight="1" thickBot="1" x14ac:dyDescent="0.25">
      <c r="A524" s="22" t="s">
        <v>635</v>
      </c>
      <c r="B524" s="105">
        <v>21</v>
      </c>
      <c r="C524" s="115">
        <v>3</v>
      </c>
      <c r="D524" s="2" t="s">
        <v>432</v>
      </c>
      <c r="E524" s="115"/>
      <c r="F524" s="18">
        <v>220481.97</v>
      </c>
      <c r="G524" s="18">
        <v>107391.45</v>
      </c>
      <c r="H524" s="18">
        <v>0</v>
      </c>
      <c r="I524" s="18">
        <v>897.4</v>
      </c>
      <c r="J524" s="18">
        <v>269.98</v>
      </c>
      <c r="K524" s="18"/>
      <c r="L524" s="88">
        <f>SUM(F524:K524)</f>
        <v>329040.8</v>
      </c>
      <c r="N524" s="263"/>
    </row>
    <row r="525" spans="1:14" s="52" customFormat="1" ht="12.2" customHeight="1" thickTop="1" x14ac:dyDescent="0.2">
      <c r="A525" s="139" t="s">
        <v>63</v>
      </c>
      <c r="B525" s="107">
        <v>21</v>
      </c>
      <c r="C525" s="195">
        <v>4</v>
      </c>
      <c r="D525" s="196" t="s">
        <v>432</v>
      </c>
      <c r="E525" s="195"/>
      <c r="F525" s="108">
        <f>SUM(F522:F524)</f>
        <v>1305009.96</v>
      </c>
      <c r="G525" s="108">
        <f t="shared" ref="G525:L525" si="36">SUM(G522:G524)</f>
        <v>682440.3899999999</v>
      </c>
      <c r="H525" s="108">
        <f t="shared" si="36"/>
        <v>0</v>
      </c>
      <c r="I525" s="108">
        <f t="shared" si="36"/>
        <v>12360.83</v>
      </c>
      <c r="J525" s="108">
        <f t="shared" si="36"/>
        <v>1858.9199999999998</v>
      </c>
      <c r="K525" s="108">
        <f t="shared" si="36"/>
        <v>0</v>
      </c>
      <c r="L525" s="89">
        <f t="shared" si="36"/>
        <v>2001670.1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202603.37</v>
      </c>
      <c r="G527" s="18">
        <v>140928.95000000001</v>
      </c>
      <c r="H527" s="18">
        <v>66800.02</v>
      </c>
      <c r="I527" s="18">
        <v>58285.27</v>
      </c>
      <c r="J527" s="18">
        <v>108710.2</v>
      </c>
      <c r="K527" s="18">
        <v>561.97</v>
      </c>
      <c r="L527" s="88">
        <f>SUM(F527:K527)</f>
        <v>577889.78</v>
      </c>
      <c r="M527" s="8"/>
      <c r="N527" s="264"/>
    </row>
    <row r="528" spans="1:14" s="3" customFormat="1" ht="12.2" customHeight="1" x14ac:dyDescent="0.15">
      <c r="A528" s="22" t="s">
        <v>634</v>
      </c>
      <c r="B528" s="105">
        <v>21</v>
      </c>
      <c r="C528" s="115">
        <v>6</v>
      </c>
      <c r="D528" s="2" t="s">
        <v>432</v>
      </c>
      <c r="E528" s="115"/>
      <c r="F528" s="18">
        <v>87397.53</v>
      </c>
      <c r="G528" s="18">
        <v>60792.88</v>
      </c>
      <c r="H528" s="18">
        <v>28815.7</v>
      </c>
      <c r="I528" s="18">
        <v>25142.66</v>
      </c>
      <c r="J528" s="18">
        <v>46894.6</v>
      </c>
      <c r="K528" s="18">
        <v>242.42</v>
      </c>
      <c r="L528" s="88">
        <f>SUM(F528:K528)</f>
        <v>249285.79000000004</v>
      </c>
      <c r="M528" s="8"/>
      <c r="N528" s="264"/>
    </row>
    <row r="529" spans="1:14" s="3" customFormat="1" ht="12.2" customHeight="1" thickBot="1" x14ac:dyDescent="0.2">
      <c r="A529" s="22" t="s">
        <v>635</v>
      </c>
      <c r="B529" s="118">
        <v>21</v>
      </c>
      <c r="C529" s="118">
        <v>7</v>
      </c>
      <c r="D529" s="2" t="s">
        <v>432</v>
      </c>
      <c r="E529" s="118"/>
      <c r="F529" s="18">
        <v>107260.61</v>
      </c>
      <c r="G529" s="18">
        <v>74609.440000000002</v>
      </c>
      <c r="H529" s="18">
        <v>35364.720000000001</v>
      </c>
      <c r="I529" s="18">
        <v>30856.91</v>
      </c>
      <c r="J529" s="18">
        <v>57552.46</v>
      </c>
      <c r="K529" s="18">
        <v>297.51</v>
      </c>
      <c r="L529" s="88">
        <f>SUM(F529:K529)</f>
        <v>305941.65000000002</v>
      </c>
      <c r="M529" s="8"/>
      <c r="N529" s="264"/>
    </row>
    <row r="530" spans="1:14" s="3" customFormat="1" ht="12.2" customHeight="1" thickTop="1" x14ac:dyDescent="0.15">
      <c r="A530" s="139" t="s">
        <v>65</v>
      </c>
      <c r="B530" s="107">
        <v>21</v>
      </c>
      <c r="C530" s="107">
        <v>8</v>
      </c>
      <c r="D530" s="158" t="s">
        <v>432</v>
      </c>
      <c r="E530" s="107"/>
      <c r="F530" s="89">
        <f>SUM(F527:F529)</f>
        <v>397261.51</v>
      </c>
      <c r="G530" s="89">
        <f t="shared" ref="G530:L530" si="37">SUM(G527:G529)</f>
        <v>276331.27</v>
      </c>
      <c r="H530" s="89">
        <f t="shared" si="37"/>
        <v>130980.44</v>
      </c>
      <c r="I530" s="89">
        <f t="shared" si="37"/>
        <v>114284.84</v>
      </c>
      <c r="J530" s="89">
        <f t="shared" si="37"/>
        <v>213157.25999999998</v>
      </c>
      <c r="K530" s="89">
        <f t="shared" si="37"/>
        <v>1101.9000000000001</v>
      </c>
      <c r="L530" s="89">
        <f t="shared" si="37"/>
        <v>1133117.2200000002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100648.72</v>
      </c>
      <c r="G532" s="18">
        <v>769.96</v>
      </c>
      <c r="H532" s="18"/>
      <c r="I532" s="18"/>
      <c r="J532" s="18"/>
      <c r="K532" s="18"/>
      <c r="L532" s="88">
        <f>SUM(F532:K532)</f>
        <v>101418.68000000001</v>
      </c>
      <c r="M532" s="8"/>
      <c r="N532" s="264"/>
    </row>
    <row r="533" spans="1:14" s="3" customFormat="1" ht="12.2" customHeight="1" x14ac:dyDescent="0.15">
      <c r="A533" s="22" t="s">
        <v>634</v>
      </c>
      <c r="B533" s="105">
        <v>21</v>
      </c>
      <c r="C533" s="105">
        <v>10</v>
      </c>
      <c r="D533" s="2" t="s">
        <v>432</v>
      </c>
      <c r="E533" s="105"/>
      <c r="F533" s="18">
        <v>43417.1</v>
      </c>
      <c r="G533" s="18">
        <v>332.14</v>
      </c>
      <c r="H533" s="18"/>
      <c r="I533" s="18"/>
      <c r="J533" s="18"/>
      <c r="K533" s="18"/>
      <c r="L533" s="88">
        <f>SUM(F533:K533)</f>
        <v>43749.24</v>
      </c>
      <c r="M533" s="8"/>
      <c r="N533" s="264"/>
    </row>
    <row r="534" spans="1:14" s="3" customFormat="1" ht="12.2" customHeight="1" thickBot="1" x14ac:dyDescent="0.2">
      <c r="A534" s="22" t="s">
        <v>635</v>
      </c>
      <c r="B534" s="105">
        <v>21</v>
      </c>
      <c r="C534" s="105">
        <v>11</v>
      </c>
      <c r="D534" s="2" t="s">
        <v>432</v>
      </c>
      <c r="E534" s="105"/>
      <c r="F534" s="18">
        <v>53284.62</v>
      </c>
      <c r="G534" s="18">
        <v>407.63</v>
      </c>
      <c r="H534" s="18"/>
      <c r="I534" s="18"/>
      <c r="J534" s="18"/>
      <c r="K534" s="18"/>
      <c r="L534" s="88">
        <f>SUM(F534:K534)</f>
        <v>53692.25</v>
      </c>
      <c r="M534" s="8"/>
      <c r="N534" s="264"/>
    </row>
    <row r="535" spans="1:14" s="3" customFormat="1" ht="12.2" customHeight="1" thickTop="1" x14ac:dyDescent="0.15">
      <c r="A535" s="139" t="s">
        <v>67</v>
      </c>
      <c r="B535" s="107">
        <v>21</v>
      </c>
      <c r="C535" s="107">
        <v>12</v>
      </c>
      <c r="D535" s="158" t="s">
        <v>432</v>
      </c>
      <c r="E535" s="107"/>
      <c r="F535" s="89">
        <f>SUM(F532:F534)</f>
        <v>197350.44</v>
      </c>
      <c r="G535" s="89">
        <f t="shared" ref="G535:L535" si="38">SUM(G532:G534)</f>
        <v>1509.73</v>
      </c>
      <c r="H535" s="89">
        <f t="shared" si="38"/>
        <v>0</v>
      </c>
      <c r="I535" s="89">
        <f t="shared" si="38"/>
        <v>0</v>
      </c>
      <c r="J535" s="89">
        <f t="shared" si="38"/>
        <v>0</v>
      </c>
      <c r="K535" s="89">
        <f t="shared" si="38"/>
        <v>0</v>
      </c>
      <c r="L535" s="89">
        <f t="shared" si="38"/>
        <v>198860.17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107284.3</v>
      </c>
      <c r="I542" s="18"/>
      <c r="J542" s="18"/>
      <c r="K542" s="18"/>
      <c r="L542" s="88">
        <f>SUM(F542:K542)</f>
        <v>107284.3</v>
      </c>
      <c r="M542" s="8"/>
      <c r="N542" s="264"/>
    </row>
    <row r="543" spans="1:14" s="3" customFormat="1" ht="12.2" customHeight="1" x14ac:dyDescent="0.15">
      <c r="A543" s="22" t="s">
        <v>634</v>
      </c>
      <c r="B543" s="105">
        <v>21</v>
      </c>
      <c r="C543" s="105">
        <v>18</v>
      </c>
      <c r="D543" s="2" t="s">
        <v>432</v>
      </c>
      <c r="E543" s="105"/>
      <c r="F543" s="18"/>
      <c r="G543" s="18"/>
      <c r="H543" s="18">
        <v>46279.5</v>
      </c>
      <c r="I543" s="18"/>
      <c r="J543" s="18"/>
      <c r="K543" s="18"/>
      <c r="L543" s="88">
        <f>SUM(F543:K543)</f>
        <v>46279.5</v>
      </c>
      <c r="M543" s="8"/>
      <c r="N543" s="264"/>
    </row>
    <row r="544" spans="1:14" s="3" customFormat="1" ht="12.2" customHeight="1" thickBot="1" x14ac:dyDescent="0.2">
      <c r="A544" s="22" t="s">
        <v>635</v>
      </c>
      <c r="B544" s="105">
        <v>21</v>
      </c>
      <c r="C544" s="105">
        <v>19</v>
      </c>
      <c r="D544" s="2" t="s">
        <v>432</v>
      </c>
      <c r="E544" s="105"/>
      <c r="F544" s="18"/>
      <c r="G544" s="18"/>
      <c r="H544" s="18">
        <v>56797.57</v>
      </c>
      <c r="I544" s="18"/>
      <c r="J544" s="18"/>
      <c r="K544" s="18"/>
      <c r="L544" s="88">
        <f>SUM(F544:K544)</f>
        <v>56797.57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210361.37</v>
      </c>
      <c r="I545" s="193">
        <f t="shared" si="40"/>
        <v>0</v>
      </c>
      <c r="J545" s="193">
        <f t="shared" si="40"/>
        <v>0</v>
      </c>
      <c r="K545" s="193">
        <f t="shared" si="40"/>
        <v>0</v>
      </c>
      <c r="L545" s="193">
        <f t="shared" si="40"/>
        <v>210361.37</v>
      </c>
      <c r="M545" s="8"/>
      <c r="N545" s="264"/>
    </row>
    <row r="546" spans="1:14" s="3" customFormat="1" ht="12.2" customHeight="1" thickTop="1" x14ac:dyDescent="0.15">
      <c r="A546" s="98" t="s">
        <v>72</v>
      </c>
      <c r="B546" s="107">
        <v>21</v>
      </c>
      <c r="C546" s="107">
        <v>21</v>
      </c>
      <c r="D546" s="158" t="s">
        <v>432</v>
      </c>
      <c r="E546" s="107"/>
      <c r="F546" s="89">
        <f>F525+F530+F535+F540+F545</f>
        <v>1899621.91</v>
      </c>
      <c r="G546" s="89">
        <f t="shared" ref="G546:L546" si="41">G525+G530+G535+G540+G545</f>
        <v>960281.3899999999</v>
      </c>
      <c r="H546" s="89">
        <f t="shared" si="41"/>
        <v>341341.81</v>
      </c>
      <c r="I546" s="89">
        <f t="shared" si="41"/>
        <v>126645.67</v>
      </c>
      <c r="J546" s="89">
        <f t="shared" si="41"/>
        <v>215016.18</v>
      </c>
      <c r="K546" s="89">
        <f t="shared" si="41"/>
        <v>1101.9000000000001</v>
      </c>
      <c r="L546" s="89">
        <f t="shared" si="41"/>
        <v>3544008.8600000003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1195301.8400000001</v>
      </c>
      <c r="G550" s="87">
        <f>L527</f>
        <v>577889.78</v>
      </c>
      <c r="H550" s="87">
        <f>L532</f>
        <v>101418.68000000001</v>
      </c>
      <c r="I550" s="87">
        <f>L537</f>
        <v>0</v>
      </c>
      <c r="J550" s="87">
        <f>L542</f>
        <v>107284.3</v>
      </c>
      <c r="K550" s="87">
        <f>SUM(F550:J550)</f>
        <v>1981894.6</v>
      </c>
      <c r="L550" s="24" t="s">
        <v>288</v>
      </c>
      <c r="M550" s="8"/>
      <c r="N550" s="264"/>
    </row>
    <row r="551" spans="1:14" s="3" customFormat="1" ht="12.2" customHeight="1" x14ac:dyDescent="0.15">
      <c r="A551" s="22" t="s">
        <v>634</v>
      </c>
      <c r="B551" s="75">
        <v>21</v>
      </c>
      <c r="C551" s="75">
        <v>23</v>
      </c>
      <c r="D551" s="2" t="s">
        <v>432</v>
      </c>
      <c r="E551" s="75"/>
      <c r="F551" s="87">
        <f>L523</f>
        <v>477327.46</v>
      </c>
      <c r="G551" s="87">
        <f>L528</f>
        <v>249285.79000000004</v>
      </c>
      <c r="H551" s="87">
        <f>L533</f>
        <v>43749.24</v>
      </c>
      <c r="I551" s="87">
        <f>L538</f>
        <v>0</v>
      </c>
      <c r="J551" s="87">
        <f>L543</f>
        <v>46279.5</v>
      </c>
      <c r="K551" s="87">
        <f>SUM(F551:J551)</f>
        <v>816641.99</v>
      </c>
      <c r="L551" s="24" t="s">
        <v>288</v>
      </c>
      <c r="M551" s="8"/>
      <c r="N551" s="264"/>
    </row>
    <row r="552" spans="1:14" s="3" customFormat="1" ht="12.2" customHeight="1" thickBot="1" x14ac:dyDescent="0.2">
      <c r="A552" s="22" t="s">
        <v>635</v>
      </c>
      <c r="B552" s="75">
        <v>21</v>
      </c>
      <c r="C552" s="75">
        <v>24</v>
      </c>
      <c r="D552" s="2" t="s">
        <v>432</v>
      </c>
      <c r="E552" s="75"/>
      <c r="F552" s="87">
        <f>L524</f>
        <v>329040.8</v>
      </c>
      <c r="G552" s="87">
        <f>L529</f>
        <v>305941.65000000002</v>
      </c>
      <c r="H552" s="87">
        <f>L534</f>
        <v>53692.25</v>
      </c>
      <c r="I552" s="87">
        <f>L539</f>
        <v>0</v>
      </c>
      <c r="J552" s="87">
        <f>L544</f>
        <v>56797.57</v>
      </c>
      <c r="K552" s="87">
        <f>SUM(F552:J552)</f>
        <v>745472.2699999999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2001670.1</v>
      </c>
      <c r="G553" s="89">
        <f t="shared" si="42"/>
        <v>1133117.2200000002</v>
      </c>
      <c r="H553" s="89">
        <f t="shared" si="42"/>
        <v>198860.17</v>
      </c>
      <c r="I553" s="89">
        <f t="shared" si="42"/>
        <v>0</v>
      </c>
      <c r="J553" s="89">
        <f t="shared" si="42"/>
        <v>210361.37</v>
      </c>
      <c r="K553" s="89">
        <f t="shared" si="42"/>
        <v>3544008.86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4"/>
      <c r="G558" s="4"/>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16768.25</v>
      </c>
      <c r="G563" s="18">
        <v>1282.77</v>
      </c>
      <c r="H563" s="18"/>
      <c r="I563" s="18"/>
      <c r="J563" s="18"/>
      <c r="K563" s="18"/>
      <c r="L563" s="88">
        <f>SUM(F563:K563)</f>
        <v>18051.02</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SUM(F563:F565)</f>
        <v>16768.25</v>
      </c>
      <c r="G566" s="89">
        <f>SUM(G563:G565)</f>
        <v>1282.77</v>
      </c>
      <c r="H566" s="89">
        <f t="shared" ref="H566:L566" si="44">SUM(H563:H565)</f>
        <v>0</v>
      </c>
      <c r="I566" s="89">
        <f t="shared" si="44"/>
        <v>0</v>
      </c>
      <c r="J566" s="89">
        <f t="shared" si="44"/>
        <v>0</v>
      </c>
      <c r="K566" s="89">
        <f t="shared" si="44"/>
        <v>0</v>
      </c>
      <c r="L566" s="89">
        <f t="shared" si="44"/>
        <v>18051.02</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16768.25</v>
      </c>
      <c r="G572" s="89">
        <f t="shared" ref="G572:L572" si="46">G561+G566+G571</f>
        <v>1282.77</v>
      </c>
      <c r="H572" s="89">
        <f t="shared" si="46"/>
        <v>0</v>
      </c>
      <c r="I572" s="89">
        <f t="shared" si="46"/>
        <v>0</v>
      </c>
      <c r="J572" s="89">
        <f t="shared" si="46"/>
        <v>0</v>
      </c>
      <c r="K572" s="89">
        <f t="shared" si="46"/>
        <v>0</v>
      </c>
      <c r="L572" s="89">
        <f t="shared" si="46"/>
        <v>18051.02</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20286</v>
      </c>
      <c r="I576" s="87">
        <f>SUM(F576:H576)</f>
        <v>20286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v>22962.28</v>
      </c>
      <c r="H580" s="18">
        <v>43373.18</v>
      </c>
      <c r="I580" s="87">
        <f t="shared" si="47"/>
        <v>66335.459999999992</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4"/>
      <c r="G581" s="18"/>
      <c r="H581" s="18">
        <v>75255.039999999994</v>
      </c>
      <c r="I581" s="87">
        <f>SUM(F581:H581)</f>
        <v>75255.039999999994</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103630.66</v>
      </c>
      <c r="G583" s="18">
        <v>44703.42</v>
      </c>
      <c r="H583" s="18">
        <v>54863.29</v>
      </c>
      <c r="I583" s="87">
        <f t="shared" si="47"/>
        <v>203197.37000000002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119445.93</v>
      </c>
      <c r="I585" s="87">
        <f t="shared" si="47"/>
        <v>119445.93</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175220.43</v>
      </c>
      <c r="I592" s="18">
        <v>75585.279999999999</v>
      </c>
      <c r="J592" s="18">
        <v>92763.76</v>
      </c>
      <c r="K592" s="104">
        <f t="shared" ref="K592:K598" si="48">SUM(H592:J592)</f>
        <v>343569.47</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107284.3</v>
      </c>
      <c r="I593" s="18">
        <v>46279.5</v>
      </c>
      <c r="J593" s="18">
        <v>56797.57</v>
      </c>
      <c r="K593" s="104">
        <f t="shared" si="48"/>
        <v>210361.37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19642.62</v>
      </c>
      <c r="K594" s="104">
        <f t="shared" si="48"/>
        <v>19642.62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8030.74</v>
      </c>
      <c r="J595" s="18">
        <v>11549.24</v>
      </c>
      <c r="K595" s="104">
        <f t="shared" si="48"/>
        <v>19579.98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v>653.6</v>
      </c>
      <c r="J598" s="18">
        <v>317.72000000000003</v>
      </c>
      <c r="K598" s="104">
        <f t="shared" si="48"/>
        <v>971.32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282504.73</v>
      </c>
      <c r="I599" s="108">
        <f>SUM(I592:I598)</f>
        <v>130549.12000000001</v>
      </c>
      <c r="J599" s="108">
        <f>SUM(J592:J598)</f>
        <v>181070.90999999997</v>
      </c>
      <c r="K599" s="108">
        <f>SUM(K592:K598)</f>
        <v>594124.75999999989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18368.18+113329.63+50192.74</f>
        <v>181890.55</v>
      </c>
      <c r="I605" s="18">
        <f>17194.81+48887.29+21651.77</f>
        <v>87733.87000000001</v>
      </c>
      <c r="J605" s="18">
        <f>35463.18+59998.04+26572.63+2375.38</f>
        <v>124409.23000000001</v>
      </c>
      <c r="K605" s="104">
        <f>SUM(H605:J605)</f>
        <v>394033.65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181890.55</v>
      </c>
      <c r="I606" s="108">
        <f>SUM(I603:I605)</f>
        <v>87733.87000000001</v>
      </c>
      <c r="J606" s="108">
        <f>SUM(J603:J605)</f>
        <v>124409.23000000001</v>
      </c>
      <c r="K606" s="108">
        <f>SUM(K603:K605)</f>
        <v>394033.65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2517332.9500000002</v>
      </c>
      <c r="H618" s="109">
        <f>SUM(F52)</f>
        <v>2517332.9499999997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64034.89</v>
      </c>
      <c r="H619" s="109">
        <f>SUM(G52)</f>
        <v>64034.889999999992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459323.08</v>
      </c>
      <c r="H620" s="109">
        <f>SUM(H52)</f>
        <v>459323.08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288019.12</v>
      </c>
      <c r="H621" s="109">
        <f>SUM(I52)</f>
        <v>288019.12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366160.04</v>
      </c>
      <c r="H622" s="109">
        <f>SUM(J52)</f>
        <v>366160.04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2004997.69</v>
      </c>
      <c r="H623" s="109">
        <f>F477</f>
        <v>2004997.6900000013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3.81</v>
      </c>
      <c r="H625" s="109">
        <f>H477</f>
        <v>3.8100000000558794</v>
      </c>
      <c r="I625" s="121" t="s">
        <v>103</v>
      </c>
      <c r="J625" s="109">
        <f t="shared" si="50"/>
        <v>-5.5879301186223529E-11</v>
      </c>
      <c r="K625" s="109"/>
      <c r="L625" s="109"/>
      <c r="M625" s="8"/>
    </row>
    <row r="626" spans="1:13" s="3" customFormat="1" ht="12.2" customHeight="1" x14ac:dyDescent="0.15">
      <c r="A626" s="97"/>
      <c r="B626" s="105"/>
      <c r="C626" s="105"/>
      <c r="D626" s="105"/>
      <c r="E626" s="105"/>
      <c r="F626" s="120" t="s">
        <v>868</v>
      </c>
      <c r="G626" s="109">
        <f>I51</f>
        <v>-0.18</v>
      </c>
      <c r="H626" s="109">
        <f>I477</f>
        <v>-0.17999999999301508</v>
      </c>
      <c r="I626" s="121" t="s">
        <v>104</v>
      </c>
      <c r="J626" s="109">
        <f t="shared" si="50"/>
        <v>-6.9849126482779411E-12</v>
      </c>
      <c r="K626" s="109"/>
      <c r="L626" s="109"/>
      <c r="M626" s="8"/>
    </row>
    <row r="627" spans="1:13" s="3" customFormat="1" ht="12.2" customHeight="1" x14ac:dyDescent="0.15">
      <c r="A627" s="22"/>
      <c r="B627" s="105"/>
      <c r="C627" s="105"/>
      <c r="D627" s="105"/>
      <c r="E627" s="105"/>
      <c r="F627" s="120" t="s">
        <v>869</v>
      </c>
      <c r="G627" s="109">
        <f>J51</f>
        <v>366160.04</v>
      </c>
      <c r="H627" s="109">
        <f>J477</f>
        <v>366160.04000000004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20156942.489999998</v>
      </c>
      <c r="H628" s="104">
        <f>SUM(F469)</f>
        <v>20156942.489999998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264644.34999999998</v>
      </c>
      <c r="H629" s="104">
        <f>SUM(G469)</f>
        <v>264644.34999999998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999267.2</v>
      </c>
      <c r="H630" s="104">
        <f>SUM(H469)</f>
        <v>999267.2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429450.55</v>
      </c>
      <c r="H631" s="104">
        <f>SUM(I469)</f>
        <v>429450.55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251272.52</v>
      </c>
      <c r="H632" s="104">
        <f>SUM(J469)</f>
        <v>251272.52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18945806.469999999</v>
      </c>
      <c r="H633" s="104">
        <f>SUM(F473)</f>
        <v>18945806.469999999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999267.2</v>
      </c>
      <c r="H634" s="104">
        <f>SUM(H473)</f>
        <v>999267.2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82245.929999999993</v>
      </c>
      <c r="H635" s="104">
        <f>I370</f>
        <v>82245.929999999993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264643.80000000005</v>
      </c>
      <c r="H636" s="104">
        <f>SUM(G473)</f>
        <v>264643.8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429450.55</v>
      </c>
      <c r="H637" s="104">
        <f>SUM(I473)</f>
        <v>429450.55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251272.52000000002</v>
      </c>
      <c r="H638" s="164">
        <f>SUM(J469)</f>
        <v>251272.52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493000</v>
      </c>
      <c r="H639" s="164">
        <f>SUM(J473)</f>
        <v>493000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366160.04</v>
      </c>
      <c r="H640" s="104">
        <f>SUM(F462)</f>
        <v>366160.04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366160.04</v>
      </c>
      <c r="H643" s="104">
        <f>SUM(I462)</f>
        <v>366160.04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1272.52</v>
      </c>
      <c r="H645" s="104">
        <f>H409</f>
        <v>1272.52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250000</v>
      </c>
      <c r="H646" s="104">
        <f>G409</f>
        <v>250000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251272.52</v>
      </c>
      <c r="H647" s="104">
        <f>L409</f>
        <v>251272.52000000002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594124.75999999989</v>
      </c>
      <c r="H648" s="104">
        <f>L209+L227+L245</f>
        <v>594124.76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394033.65</v>
      </c>
      <c r="H649" s="104">
        <f>(J258+J339)-(J256+J337)</f>
        <v>394033.65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282504.73</v>
      </c>
      <c r="H650" s="104">
        <f>H599</f>
        <v>282504.73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130549.12</v>
      </c>
      <c r="H651" s="104">
        <f>I599</f>
        <v>130549.12000000001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181070.90999999997</v>
      </c>
      <c r="H652" s="104">
        <f>J599</f>
        <v>181070.90999999997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37440.57</v>
      </c>
      <c r="H653" s="104">
        <f>K264+K346</f>
        <v>37440.57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H181</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250000</v>
      </c>
      <c r="H656" s="104">
        <f>K267+K348</f>
        <v>250000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8527116.1099999994</v>
      </c>
      <c r="G661" s="19">
        <f>(L230+L310+L360)</f>
        <v>4414753.01</v>
      </c>
      <c r="H661" s="19">
        <f>(L248+L329+L361)</f>
        <v>5973324.2800000003</v>
      </c>
      <c r="I661" s="19">
        <f>SUM(F661:H661)</f>
        <v>18915193.399999999</v>
      </c>
      <c r="J661" s="13"/>
      <c r="K661" s="13"/>
      <c r="L661" s="13"/>
      <c r="M661" s="9"/>
    </row>
    <row r="662" spans="1:13" s="3" customFormat="1" ht="12.2" customHeight="1" x14ac:dyDescent="0.2">
      <c r="A662" s="1" t="s">
        <v>127</v>
      </c>
      <c r="F662" s="19">
        <f>(L359/IF(SUM(L359:L361)=0,1,SUM(L359:L361))*(SUM(G97:G110)))</f>
        <v>76255.841369139191</v>
      </c>
      <c r="G662" s="19">
        <f>(L360/IF(SUM(L359:L361)=0,1,SUM(L359:L361))*(SUM(G97:G110)))</f>
        <v>36853.811097265454</v>
      </c>
      <c r="H662" s="19">
        <f>(L361/IF(SUM(L359:L361)=0,1,SUM(L359:L361))*(SUM(G97:G110)))</f>
        <v>38681.217533595343</v>
      </c>
      <c r="I662" s="19">
        <f>SUM(F662:H662)</f>
        <v>151790.87</v>
      </c>
      <c r="J662"/>
      <c r="K662" s="13"/>
      <c r="L662" s="13"/>
      <c r="M662" s="8"/>
    </row>
    <row r="663" spans="1:13" s="3" customFormat="1" ht="12.2" customHeight="1" x14ac:dyDescent="0.2">
      <c r="A663" s="1" t="s">
        <v>128</v>
      </c>
      <c r="F663" s="19">
        <f>(L209+L288)-(J209+J288)</f>
        <v>282504.73</v>
      </c>
      <c r="G663" s="19">
        <f>(L227+L307)-(J227+J307)</f>
        <v>130549.12</v>
      </c>
      <c r="H663" s="19">
        <f>(L245+L326)-(J245+J326)</f>
        <v>181070.90999999997</v>
      </c>
      <c r="I663" s="19">
        <f>SUM(F663:H663)</f>
        <v>594124.76</v>
      </c>
      <c r="J663"/>
      <c r="K663" s="13"/>
      <c r="L663" s="13"/>
      <c r="M663" s="9"/>
    </row>
    <row r="664" spans="1:13" s="3" customFormat="1" ht="12.2" customHeight="1" x14ac:dyDescent="0.15">
      <c r="A664" s="198" t="s">
        <v>129</v>
      </c>
      <c r="B664" s="169"/>
      <c r="C664" s="169"/>
      <c r="D664" s="169"/>
      <c r="E664" s="169"/>
      <c r="F664" s="199">
        <f>SUM(F576:F588)+SUM(H603:H605)+SUM(L612)</f>
        <v>285521.20999999996</v>
      </c>
      <c r="G664" s="199">
        <f>SUM(G576:G588)+SUM(I603:I605)+L613</f>
        <v>155399.57</v>
      </c>
      <c r="H664" s="199">
        <f>SUM(H576:H588)+SUM(J603:J605)+L614</f>
        <v>437632.67000000004</v>
      </c>
      <c r="I664" s="19">
        <f>SUM(F664:H664)</f>
        <v>878553.45</v>
      </c>
      <c r="J664" s="13"/>
      <c r="K664" s="13"/>
      <c r="L664" s="13"/>
      <c r="M664" s="9"/>
    </row>
    <row r="665" spans="1:13" s="3" customFormat="1" ht="12.2" customHeight="1" x14ac:dyDescent="0.15">
      <c r="A665" s="1" t="s">
        <v>130</v>
      </c>
      <c r="F665" s="19">
        <f>F661-SUM(F662:F664)</f>
        <v>7882834.32863086</v>
      </c>
      <c r="G665" s="19">
        <f>G661-SUM(G662:G664)</f>
        <v>4091950.5089027341</v>
      </c>
      <c r="H665" s="19">
        <f>H661-SUM(H662:H664)</f>
        <v>5315939.4824664053</v>
      </c>
      <c r="I665" s="19">
        <f>I661-SUM(I662:I664)</f>
        <v>17290724.32</v>
      </c>
      <c r="J665" s="13"/>
      <c r="K665" s="13"/>
      <c r="L665" s="13"/>
      <c r="M665" s="8"/>
    </row>
    <row r="666" spans="1:13" s="3" customFormat="1" ht="12.2" customHeight="1" x14ac:dyDescent="0.25">
      <c r="A666" s="1" t="s">
        <v>131</v>
      </c>
      <c r="F666" s="359">
        <v>437.4</v>
      </c>
      <c r="G666" s="359">
        <v>190.75</v>
      </c>
      <c r="H666" s="359">
        <v>247.22</v>
      </c>
      <c r="I666" s="19">
        <f>SUM(F666:H666)</f>
        <v>875.37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18022.03</v>
      </c>
      <c r="G668" s="19">
        <f>ROUND(G665/G666,2)</f>
        <v>21451.9</v>
      </c>
      <c r="H668" s="19">
        <f>ROUND(H665/H666,2)</f>
        <v>21502.87</v>
      </c>
      <c r="I668" s="19">
        <f>ROUND(I665/I666,2)</f>
        <v>19752.48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-15.67</v>
      </c>
      <c r="I671" s="19">
        <f>SUM(F671:H671)</f>
        <v>-15.67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18022.03</v>
      </c>
      <c r="G673" s="19">
        <f>ROUND((G665+G670)/(G666+G671),2)</f>
        <v>21451.9</v>
      </c>
      <c r="H673" s="19">
        <f>ROUND((H665+H670)/(H666+H671),2)</f>
        <v>22958.06</v>
      </c>
      <c r="I673" s="19">
        <f>ROUND((I665+I670)/(I666+I671),2)</f>
        <v>20112.509999999998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F23" sqref="F23"/>
    </sheetView>
  </sheetViews>
  <sheetFormatPr defaultColWidth="9.1640625" defaultRowHeight="15" x14ac:dyDescent="0.25"/>
  <cols>
    <col min="1" max="2" width="9.1640625" style="340"/>
    <col min="3" max="3" width="154.5" style="340" customWidth="1"/>
    <col min="4" max="4" width="9.1640625" style="340"/>
    <col min="5" max="5" width="14.1640625" style="340" customWidth="1"/>
    <col min="6" max="7" width="9.1640625" style="340"/>
    <col min="8" max="8" width="23.1640625" style="340" customWidth="1"/>
    <col min="9" max="9" width="14.1640625" style="340" customWidth="1"/>
    <col min="10" max="16384" width="9.16406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440366.42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178400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240541.95</v>
      </c>
      <c r="F22" s="346"/>
    </row>
    <row r="23" spans="2:8" x14ac:dyDescent="0.25">
      <c r="B23" s="346"/>
      <c r="C23" s="346"/>
      <c r="D23" s="346"/>
      <c r="E23" s="346"/>
      <c r="F23" s="346"/>
    </row>
    <row r="24" spans="2:8" ht="26.25" customHeight="1" x14ac:dyDescent="0.25">
      <c r="B24" s="346"/>
      <c r="C24" s="348" t="s">
        <v>1661</v>
      </c>
      <c r="D24" s="346"/>
      <c r="E24" s="341">
        <v>198538.23</v>
      </c>
      <c r="F24" s="346"/>
    </row>
    <row r="25" spans="2:8" ht="18" x14ac:dyDescent="0.25">
      <c r="B25" s="346"/>
      <c r="C25" s="349"/>
      <c r="D25" s="346"/>
      <c r="E25" s="346"/>
      <c r="F25" s="346"/>
    </row>
    <row r="26" spans="2:8" ht="27.75" customHeight="1" x14ac:dyDescent="0.25">
      <c r="B26" s="346"/>
      <c r="C26" s="348" t="s">
        <v>1662</v>
      </c>
      <c r="D26" s="346"/>
      <c r="E26" s="341">
        <v>42003.72</v>
      </c>
      <c r="F26" s="346"/>
    </row>
    <row r="27" spans="2:8" x14ac:dyDescent="0.25">
      <c r="B27" s="346"/>
      <c r="C27" s="348"/>
      <c r="D27" s="346"/>
      <c r="E27" s="346"/>
      <c r="F27" s="346"/>
    </row>
    <row r="28" spans="2:8" ht="15.75" customHeight="1" x14ac:dyDescent="0.25">
      <c r="B28" s="346"/>
      <c r="C28" s="348" t="s">
        <v>1663</v>
      </c>
      <c r="D28" s="346"/>
      <c r="E28" s="342">
        <v>284635.33</v>
      </c>
      <c r="F28" s="346"/>
    </row>
    <row r="29" spans="2:8" x14ac:dyDescent="0.25">
      <c r="B29" s="346"/>
      <c r="C29" s="346"/>
      <c r="D29" s="346"/>
      <c r="E29" s="346"/>
      <c r="F29" s="346"/>
    </row>
    <row r="30" spans="2:8" ht="16.5" customHeight="1" x14ac:dyDescent="0.25">
      <c r="B30" s="346"/>
      <c r="C30" s="348" t="s">
        <v>1664</v>
      </c>
      <c r="D30" s="346"/>
      <c r="E30" s="341">
        <v>93589.14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Epping</v>
      </c>
      <c r="C5" s="363"/>
      <c r="D5" s="363"/>
      <c r="E5" s="363"/>
      <c r="F5" s="363"/>
    </row>
    <row r="8" spans="1:9" ht="18" x14ac:dyDescent="0.25">
      <c r="A8" s="317" t="s">
        <v>1576</v>
      </c>
      <c r="F8" s="324" t="s">
        <v>1594</v>
      </c>
    </row>
    <row r="9" spans="1:9" ht="15" x14ac:dyDescent="0.2">
      <c r="A9" s="315" t="s">
        <v>1577</v>
      </c>
      <c r="B9" s="318">
        <f>'DOE25'!G97</f>
        <v>143900.87</v>
      </c>
      <c r="F9" s="315" t="s">
        <v>1590</v>
      </c>
    </row>
    <row r="10" spans="1:9" ht="15" x14ac:dyDescent="0.2">
      <c r="A10" s="315" t="s">
        <v>1578</v>
      </c>
      <c r="B10" s="318">
        <f>'DOE25'!G112-'DOE25'!G97</f>
        <v>7890</v>
      </c>
      <c r="F10" s="315" t="s">
        <v>1591</v>
      </c>
    </row>
    <row r="11" spans="1:9" ht="15" x14ac:dyDescent="0.2">
      <c r="A11" s="315" t="s">
        <v>1579</v>
      </c>
      <c r="B11" s="318">
        <f>'DOE25'!G140</f>
        <v>4153.5200000000004</v>
      </c>
      <c r="F11" s="315" t="s">
        <v>1592</v>
      </c>
    </row>
    <row r="12" spans="1:9" ht="15" x14ac:dyDescent="0.2">
      <c r="A12" s="315" t="s">
        <v>1580</v>
      </c>
      <c r="B12" s="318">
        <f>'DOE25'!G170</f>
        <v>71259.39</v>
      </c>
      <c r="F12" s="315" t="s">
        <v>1593</v>
      </c>
    </row>
    <row r="13" spans="1:9" ht="15" x14ac:dyDescent="0.2">
      <c r="A13" s="315" t="s">
        <v>1581</v>
      </c>
      <c r="B13" s="318">
        <f>'DOE25'!G193-'DOE25'!G180</f>
        <v>0</v>
      </c>
      <c r="F13" s="315" t="s">
        <v>1603</v>
      </c>
    </row>
    <row r="14" spans="1:9" ht="18" x14ac:dyDescent="0.25">
      <c r="A14" s="317" t="s">
        <v>732</v>
      </c>
      <c r="B14" s="319">
        <f>SUM(B9:B13)</f>
        <v>227203.77999999997</v>
      </c>
    </row>
    <row r="16" spans="1:9" ht="18" x14ac:dyDescent="0.25">
      <c r="A16" s="317" t="s">
        <v>786</v>
      </c>
      <c r="F16" s="324" t="s">
        <v>1595</v>
      </c>
    </row>
    <row r="17" spans="1:6" ht="15" x14ac:dyDescent="0.2">
      <c r="A17" s="315" t="s">
        <v>1582</v>
      </c>
      <c r="B17" s="318">
        <f>'DOE25'!L363-'DOE25'!L362</f>
        <v>264643.80000000005</v>
      </c>
      <c r="F17" s="315" t="s">
        <v>1596</v>
      </c>
    </row>
    <row r="18" spans="1:6" ht="15" x14ac:dyDescent="0.2">
      <c r="A18" s="315" t="s">
        <v>1583</v>
      </c>
      <c r="B18" s="328"/>
      <c r="F18" s="324" t="s">
        <v>1620</v>
      </c>
    </row>
    <row r="19" spans="1:6" ht="18" x14ac:dyDescent="0.25">
      <c r="A19" s="317" t="s">
        <v>725</v>
      </c>
      <c r="B19" s="319">
        <f>SUM(B17:B18)</f>
        <v>264643.80000000005</v>
      </c>
    </row>
    <row r="21" spans="1:6" ht="18.75" thickBot="1" x14ac:dyDescent="0.3">
      <c r="A21" s="317" t="s">
        <v>1584</v>
      </c>
    </row>
    <row r="22" spans="1:6" ht="18.75" thickTop="1" x14ac:dyDescent="0.25">
      <c r="A22" s="317" t="s">
        <v>1585</v>
      </c>
      <c r="B22" s="323">
        <f>B14-B19</f>
        <v>-37440.020000000077</v>
      </c>
      <c r="F22" s="315" t="s">
        <v>1597</v>
      </c>
    </row>
    <row r="26" spans="1:6" ht="18" x14ac:dyDescent="0.25">
      <c r="A26" s="317" t="s">
        <v>186</v>
      </c>
    </row>
    <row r="27" spans="1:6" ht="15" x14ac:dyDescent="0.2">
      <c r="A27" s="315" t="s">
        <v>1586</v>
      </c>
      <c r="B27" s="318">
        <f>'DOE25'!G180</f>
        <v>37440.57</v>
      </c>
      <c r="F27" s="315" t="s">
        <v>1598</v>
      </c>
    </row>
    <row r="28" spans="1:6" ht="15" x14ac:dyDescent="0.2">
      <c r="A28" s="315" t="s">
        <v>1588</v>
      </c>
      <c r="B28" s="318">
        <f>'DOE25'!L362</f>
        <v>0</v>
      </c>
      <c r="F28" s="315" t="s">
        <v>1599</v>
      </c>
    </row>
    <row r="31" spans="1:6" ht="15" x14ac:dyDescent="0.2">
      <c r="A31" s="315" t="s">
        <v>1628</v>
      </c>
      <c r="B31" s="318">
        <f>'DOE25'!G466</f>
        <v>-0.55000000000000004</v>
      </c>
      <c r="F31" s="315" t="s">
        <v>1600</v>
      </c>
    </row>
    <row r="33" spans="1:6" ht="15" x14ac:dyDescent="0.2">
      <c r="A33" s="315" t="s">
        <v>1629</v>
      </c>
      <c r="B33" s="318">
        <f>'DOE25'!G477</f>
        <v>0</v>
      </c>
      <c r="F33" s="315" t="s">
        <v>1601</v>
      </c>
    </row>
    <row r="36" spans="1:6" ht="15" x14ac:dyDescent="0.2">
      <c r="A36" s="315" t="s">
        <v>1587</v>
      </c>
      <c r="B36" s="329">
        <v>18807.53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8" sqref="C18"/>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Epping</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4998061.9799999995</v>
      </c>
      <c r="C9" s="229">
        <f>'DOE25'!G198+'DOE25'!G216+'DOE25'!G234+'DOE25'!G277+'DOE25'!G296+'DOE25'!G315</f>
        <v>2747804.48</v>
      </c>
    </row>
    <row r="10" spans="1:3" x14ac:dyDescent="0.2">
      <c r="A10" t="s">
        <v>775</v>
      </c>
      <c r="B10" s="240">
        <v>4226842.34</v>
      </c>
      <c r="C10" s="240">
        <f>1701918.42+737989.86+235148.74</f>
        <v>2675057.0199999996</v>
      </c>
    </row>
    <row r="11" spans="1:3" x14ac:dyDescent="0.2">
      <c r="A11" t="s">
        <v>776</v>
      </c>
      <c r="B11" s="240">
        <v>103860.52</v>
      </c>
      <c r="C11" s="240">
        <v>28458.63</v>
      </c>
    </row>
    <row r="12" spans="1:3" x14ac:dyDescent="0.2">
      <c r="A12" t="s">
        <v>777</v>
      </c>
      <c r="B12" s="240">
        <v>667359.12</v>
      </c>
      <c r="C12" s="240">
        <v>44288.83</v>
      </c>
    </row>
    <row r="13" spans="1:3" x14ac:dyDescent="0.2">
      <c r="A13" t="str">
        <f>IF(B9=B13,IF(C9=C13,"Check Total OK","Check Total Error"),"Check Total Error")</f>
        <v>Check Total OK</v>
      </c>
      <c r="B13" s="231">
        <f>SUM(B10:B12)</f>
        <v>4998061.9799999995</v>
      </c>
      <c r="C13" s="231">
        <f>SUM(C10:C12)</f>
        <v>2747804.4799999995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1289013.45</v>
      </c>
      <c r="C18" s="229">
        <f>'DOE25'!G199+'DOE25'!G217+'DOE25'!G235+'DOE25'!G278+'DOE25'!G297+'DOE25'!G316</f>
        <v>718512.74</v>
      </c>
    </row>
    <row r="19" spans="1:3" x14ac:dyDescent="0.2">
      <c r="A19" t="s">
        <v>775</v>
      </c>
      <c r="B19" s="240">
        <v>550946.86</v>
      </c>
      <c r="C19" s="240">
        <v>548847.54</v>
      </c>
    </row>
    <row r="20" spans="1:3" x14ac:dyDescent="0.2">
      <c r="A20" t="s">
        <v>776</v>
      </c>
      <c r="B20" s="240">
        <v>513866.17</v>
      </c>
      <c r="C20" s="240">
        <v>133592.85</v>
      </c>
    </row>
    <row r="21" spans="1:3" x14ac:dyDescent="0.2">
      <c r="A21" t="s">
        <v>777</v>
      </c>
      <c r="B21" s="240">
        <v>224200.42</v>
      </c>
      <c r="C21" s="240">
        <v>36072.35</v>
      </c>
    </row>
    <row r="22" spans="1:3" x14ac:dyDescent="0.2">
      <c r="A22" t="str">
        <f>IF(B18=B22,IF(C18=C22,"Check Total OK","Check Total Error"),"Check Total Error")</f>
        <v>Check Total OK</v>
      </c>
      <c r="B22" s="231">
        <f>SUM(B19:B21)</f>
        <v>1289013.45</v>
      </c>
      <c r="C22" s="231">
        <f>SUM(C19:C21)</f>
        <v>718512.74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180519</v>
      </c>
      <c r="C36" s="235">
        <f>'DOE25'!G201+'DOE25'!G219+'DOE25'!G237+'DOE25'!G280+'DOE25'!G299+'DOE25'!G318</f>
        <v>34372.19</v>
      </c>
    </row>
    <row r="37" spans="1:3" x14ac:dyDescent="0.2">
      <c r="A37" t="s">
        <v>775</v>
      </c>
      <c r="B37" s="240">
        <v>176266.5</v>
      </c>
      <c r="C37" s="240">
        <f>20830.35+10119.03+169.65</f>
        <v>31119.03</v>
      </c>
    </row>
    <row r="38" spans="1:3" x14ac:dyDescent="0.2">
      <c r="A38" t="s">
        <v>776</v>
      </c>
      <c r="B38" s="240">
        <v>4252.5</v>
      </c>
      <c r="C38" s="240">
        <v>3253.16</v>
      </c>
    </row>
    <row r="39" spans="1:3" x14ac:dyDescent="0.2">
      <c r="A39" t="s">
        <v>777</v>
      </c>
      <c r="B39" s="240"/>
      <c r="C39" s="21"/>
    </row>
    <row r="40" spans="1:3" x14ac:dyDescent="0.2">
      <c r="A40" t="str">
        <f>IF(B36=B40,IF(C36=C40,"Check Total OK","Check Total Error"),"Check Total Error")</f>
        <v>Check Total OK</v>
      </c>
      <c r="B40" s="231">
        <f>SUM(B37:B39)</f>
        <v>180519</v>
      </c>
      <c r="C40" s="231">
        <f>SUM(C37:C38)</f>
        <v>34372.19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6" t="s">
        <v>892</v>
      </c>
      <c r="B1" s="369"/>
      <c r="C1" s="369"/>
      <c r="D1" s="369"/>
      <c r="E1" s="369"/>
      <c r="F1" s="369"/>
      <c r="G1" s="369"/>
      <c r="H1" s="369"/>
      <c r="I1" s="181"/>
    </row>
    <row r="2" spans="1:9" x14ac:dyDescent="0.2">
      <c r="A2" s="33" t="s">
        <v>713</v>
      </c>
      <c r="B2" s="258" t="str">
        <f>'DOE25'!A2</f>
        <v>Epping</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10698382.919999998</v>
      </c>
      <c r="D5" s="20">
        <f>SUM('DOE25'!L198:L201)+SUM('DOE25'!L216:L219)+SUM('DOE25'!L234:L237)-F5-G5-H5</f>
        <v>10625835.829999998</v>
      </c>
      <c r="E5" s="243"/>
      <c r="F5" s="244"/>
      <c r="G5" s="53">
        <f>SUM('DOE25'!J198:J201)+SUM('DOE25'!J216:J219)+SUM('DOE25'!J234:J237)</f>
        <v>65040.139999999992</v>
      </c>
      <c r="H5" s="53">
        <f>SUM('DOE25'!K198:K201)+SUM('DOE25'!K216:K219)+SUM('DOE25'!K234:K237)</f>
        <v>7506.95</v>
      </c>
      <c r="I5" s="254"/>
    </row>
    <row r="6" spans="1:9" x14ac:dyDescent="0.2">
      <c r="A6" s="32">
        <v>2100</v>
      </c>
      <c r="B6" t="s">
        <v>796</v>
      </c>
      <c r="C6" s="273">
        <f t="shared" si="0"/>
        <v>1625433.17</v>
      </c>
      <c r="D6" s="20">
        <f>'DOE25'!L203+'DOE25'!L221+'DOE25'!L239-F6-G6-H6</f>
        <v>1623461.54</v>
      </c>
      <c r="E6" s="243"/>
      <c r="F6" s="244"/>
      <c r="G6" s="53">
        <f>'DOE25'!J203+'DOE25'!J221+'DOE25'!J239</f>
        <v>1771.63</v>
      </c>
      <c r="H6" s="53">
        <f>'DOE25'!K203+'DOE25'!K221+'DOE25'!K239</f>
        <v>200</v>
      </c>
      <c r="I6" s="254"/>
    </row>
    <row r="7" spans="1:9" x14ac:dyDescent="0.2">
      <c r="A7" s="32">
        <v>2200</v>
      </c>
      <c r="B7" t="s">
        <v>821</v>
      </c>
      <c r="C7" s="273">
        <f t="shared" si="0"/>
        <v>907167.78</v>
      </c>
      <c r="D7" s="20">
        <f>'DOE25'!L204+'DOE25'!L222+'DOE25'!L240-F7-G7-H7</f>
        <v>686639.8</v>
      </c>
      <c r="E7" s="243"/>
      <c r="F7" s="244"/>
      <c r="G7" s="53">
        <f>'DOE25'!J204+'DOE25'!J222+'DOE25'!J240</f>
        <v>219426.08</v>
      </c>
      <c r="H7" s="53">
        <f>'DOE25'!K204+'DOE25'!K222+'DOE25'!K240</f>
        <v>1101.9000000000001</v>
      </c>
      <c r="I7" s="254"/>
    </row>
    <row r="8" spans="1:9" x14ac:dyDescent="0.2">
      <c r="A8" s="32">
        <v>2300</v>
      </c>
      <c r="B8" t="s">
        <v>797</v>
      </c>
      <c r="C8" s="273">
        <f t="shared" si="0"/>
        <v>649972.16</v>
      </c>
      <c r="D8" s="243"/>
      <c r="E8" s="20">
        <f>'DOE25'!L205+'DOE25'!L223+'DOE25'!L241-F8-G8-H8-D9-D11</f>
        <v>639494.68000000005</v>
      </c>
      <c r="F8" s="244"/>
      <c r="G8" s="53">
        <f>'DOE25'!J205+'DOE25'!J223+'DOE25'!J241</f>
        <v>218.99</v>
      </c>
      <c r="H8" s="53">
        <f>'DOE25'!K205+'DOE25'!K223+'DOE25'!K241</f>
        <v>10258.49</v>
      </c>
      <c r="I8" s="254"/>
    </row>
    <row r="9" spans="1:9" ht="14.25" x14ac:dyDescent="0.2">
      <c r="A9" s="32">
        <v>2310</v>
      </c>
      <c r="B9" s="185" t="s">
        <v>888</v>
      </c>
      <c r="C9" s="273">
        <f t="shared" si="0"/>
        <v>88112</v>
      </c>
      <c r="D9" s="244">
        <v>88112</v>
      </c>
      <c r="E9" s="243"/>
      <c r="F9" s="251"/>
      <c r="G9" s="251"/>
      <c r="H9" s="251"/>
      <c r="I9" s="254"/>
    </row>
    <row r="10" spans="1:9" ht="14.25" x14ac:dyDescent="0.2">
      <c r="A10" s="32">
        <v>2317</v>
      </c>
      <c r="B10" s="185" t="s">
        <v>889</v>
      </c>
      <c r="C10" s="273">
        <f t="shared" si="0"/>
        <v>12500</v>
      </c>
      <c r="D10" s="243"/>
      <c r="E10" s="244">
        <v>12500</v>
      </c>
      <c r="F10" s="251"/>
      <c r="G10" s="251"/>
      <c r="H10" s="251"/>
      <c r="I10" s="254"/>
    </row>
    <row r="11" spans="1:9" ht="14.25" x14ac:dyDescent="0.2">
      <c r="A11" s="32">
        <v>2321</v>
      </c>
      <c r="B11" s="185" t="s">
        <v>890</v>
      </c>
      <c r="C11" s="273">
        <f t="shared" si="0"/>
        <v>233980</v>
      </c>
      <c r="D11" s="244">
        <v>233980</v>
      </c>
      <c r="E11" s="243"/>
      <c r="F11" s="251"/>
      <c r="G11" s="251"/>
      <c r="H11" s="251"/>
      <c r="I11" s="254"/>
    </row>
    <row r="12" spans="1:9" x14ac:dyDescent="0.2">
      <c r="A12" s="32">
        <v>2400</v>
      </c>
      <c r="B12" t="s">
        <v>711</v>
      </c>
      <c r="C12" s="273">
        <f t="shared" si="0"/>
        <v>1332021.8999999999</v>
      </c>
      <c r="D12" s="20">
        <f>'DOE25'!L206+'DOE25'!L224+'DOE25'!L242-F12-G12-H12</f>
        <v>1306284.01</v>
      </c>
      <c r="E12" s="243"/>
      <c r="F12" s="244"/>
      <c r="G12" s="53">
        <f>'DOE25'!J206+'DOE25'!J224+'DOE25'!J242</f>
        <v>401.97</v>
      </c>
      <c r="H12" s="53">
        <f>'DOE25'!K206+'DOE25'!K224+'DOE25'!K242</f>
        <v>25335.920000000002</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1522087.7100000002</v>
      </c>
      <c r="D14" s="20">
        <f>'DOE25'!L208+'DOE25'!L226+'DOE25'!L244-F14-G14-H14</f>
        <v>1513330.0100000002</v>
      </c>
      <c r="E14" s="243"/>
      <c r="F14" s="244"/>
      <c r="G14" s="53">
        <f>'DOE25'!J208+'DOE25'!J226+'DOE25'!J244</f>
        <v>8757.7000000000007</v>
      </c>
      <c r="H14" s="53">
        <f>'DOE25'!K208+'DOE25'!K226+'DOE25'!K244</f>
        <v>0</v>
      </c>
      <c r="I14" s="254"/>
    </row>
    <row r="15" spans="1:9" x14ac:dyDescent="0.2">
      <c r="A15" s="32">
        <v>2700</v>
      </c>
      <c r="B15" t="s">
        <v>799</v>
      </c>
      <c r="C15" s="273">
        <f t="shared" si="0"/>
        <v>594124.76</v>
      </c>
      <c r="D15" s="20">
        <f>'DOE25'!L209+'DOE25'!L227+'DOE25'!L245-F15-G15-H15</f>
        <v>117178.63</v>
      </c>
      <c r="E15" s="243"/>
      <c r="F15" s="244">
        <f>59424.74+202348.89+215172.5</f>
        <v>476946.13</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1007083.5</v>
      </c>
      <c r="D25" s="243"/>
      <c r="E25" s="243"/>
      <c r="F25" s="253"/>
      <c r="G25" s="251"/>
      <c r="H25" s="251"/>
      <c r="I25" s="252">
        <f>'DOE25'!L261+'DOE25'!L262+'DOE25'!L342+'DOE25'!L343</f>
        <v>1007083.5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208042.59000000005</v>
      </c>
      <c r="D29" s="281">
        <f>'DOE25'!L359+'DOE25'!L360+'DOE25'!L361-'DOE25'!I368-F29-G29-H29</f>
        <v>206711.22000000006</v>
      </c>
      <c r="E29" s="243"/>
      <c r="F29" s="244"/>
      <c r="G29" s="53">
        <f>'DOE25'!J359+'DOE25'!J360+'DOE25'!J361</f>
        <v>0</v>
      </c>
      <c r="H29" s="53">
        <f>'DOE25'!K359+'DOE25'!K360+'DOE25'!K361</f>
        <v>1331.37</v>
      </c>
      <c r="I29" s="254"/>
    </row>
    <row r="30" spans="1:9" x14ac:dyDescent="0.2">
      <c r="A30" s="32"/>
      <c r="C30" s="274"/>
      <c r="D30" s="20"/>
      <c r="E30" s="278"/>
      <c r="F30" s="268"/>
      <c r="G30" s="53"/>
      <c r="H30" s="53"/>
      <c r="I30" s="254"/>
    </row>
    <row r="31" spans="1:9" x14ac:dyDescent="0.2">
      <c r="A31" s="32" t="s">
        <v>818</v>
      </c>
      <c r="B31" t="s">
        <v>817</v>
      </c>
      <c r="C31" s="273">
        <f>SUM(D31:I31)</f>
        <v>999267.2</v>
      </c>
      <c r="D31" s="20">
        <f>'DOE25'!L291+'DOE25'!L310+'DOE25'!L329+'DOE25'!L334+'DOE25'!L335+'DOE25'!L336-F31-G31-H31</f>
        <v>890853.05999999994</v>
      </c>
      <c r="E31" s="243"/>
      <c r="F31" s="244"/>
      <c r="G31" s="53">
        <f>'DOE25'!J291+'DOE25'!J310+'DOE25'!J329+'DOE25'!J334+'DOE25'!J335+'DOE25'!J336</f>
        <v>98417.14</v>
      </c>
      <c r="H31" s="53">
        <f>'DOE25'!K291+'DOE25'!K310+'DOE25'!K329+'DOE25'!K334+'DOE25'!K335+'DOE25'!K336</f>
        <v>9997</v>
      </c>
      <c r="I31" s="254"/>
    </row>
    <row r="32" spans="1:9" ht="12" thickBot="1" x14ac:dyDescent="0.25">
      <c r="C32" s="274"/>
      <c r="G32" s="249"/>
      <c r="H32" s="249"/>
      <c r="I32" s="256"/>
    </row>
    <row r="33" spans="1:9" ht="12" thickTop="1" x14ac:dyDescent="0.2">
      <c r="B33" t="s">
        <v>809</v>
      </c>
      <c r="D33" s="245">
        <f t="shared" ref="D33:I33" si="1">SUM(D5:D31)</f>
        <v>17292386.099999998</v>
      </c>
      <c r="E33" s="245">
        <f t="shared" si="1"/>
        <v>651994.68000000005</v>
      </c>
      <c r="F33" s="245">
        <f t="shared" si="1"/>
        <v>476946.13</v>
      </c>
      <c r="G33" s="245">
        <f t="shared" si="1"/>
        <v>394033.64999999997</v>
      </c>
      <c r="H33" s="245">
        <f t="shared" si="1"/>
        <v>55731.630000000005</v>
      </c>
      <c r="I33" s="245">
        <f t="shared" si="1"/>
        <v>1007083.5</v>
      </c>
    </row>
    <row r="35" spans="1:9" ht="12" thickBot="1" x14ac:dyDescent="0.25">
      <c r="B35" s="249" t="s">
        <v>831</v>
      </c>
      <c r="D35" s="250">
        <f>E33</f>
        <v>651994.68000000005</v>
      </c>
      <c r="E35" s="246"/>
      <c r="F35" s="333" t="s">
        <v>1632</v>
      </c>
      <c r="G35" s="334"/>
      <c r="H35" s="334"/>
      <c r="I35" s="334"/>
    </row>
    <row r="36" spans="1:9" ht="12" thickTop="1" x14ac:dyDescent="0.2">
      <c r="B36" t="s">
        <v>810</v>
      </c>
      <c r="D36" s="20">
        <f>D33</f>
        <v>17292386.099999998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 zoomScaleNormal="100" workbookViewId="0">
      <selection activeCell="D38" sqref="D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Epping</v>
      </c>
      <c r="B2" s="126">
        <f>'DOE25'!B2</f>
        <v>165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8394165.8499999996</v>
      </c>
      <c r="G4" s="300">
        <f>'DOE25'!L212+'DOE25'!L291</f>
        <v>8394165.8499999996</v>
      </c>
      <c r="H4" s="353">
        <f>F4-G4</f>
        <v>0</v>
      </c>
      <c r="I4" s="371" t="str">
        <f>IF(H4=0,"","ISSUES!! Please review page 7 and 11 totals in comparison with total on this page")</f>
        <v/>
      </c>
      <c r="N4"/>
    </row>
    <row r="5" spans="1:18" x14ac:dyDescent="0.2">
      <c r="A5" s="21" t="s">
        <v>1024</v>
      </c>
      <c r="B5" s="301">
        <f>IFERROR(VLOOKUP(A5,'School Tables'!$C$3:$D$365,2,FALSE),"")</f>
        <v>26510</v>
      </c>
      <c r="C5" s="294" t="str">
        <f>IFERROR(INDEX('School Tables'!$B$3:$B$365,MATCH('School Level Expenditures'!B5,'School Tables'!$D$3:$D$365,0)),"")</f>
        <v>Epping</v>
      </c>
      <c r="D5" s="291">
        <v>7831380.3300000001</v>
      </c>
      <c r="E5" s="291">
        <v>562785.52</v>
      </c>
      <c r="F5" s="304">
        <f>D5+E5</f>
        <v>8394165.8499999996</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7831380.3300000001</v>
      </c>
      <c r="E21" s="351">
        <f>SUM(E5:E20)</f>
        <v>562785.52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4350499.26</v>
      </c>
      <c r="G24" s="300">
        <f>'DOE25'!L230+'DOE25'!L310</f>
        <v>4350499.26</v>
      </c>
      <c r="H24" s="353">
        <f>F24-G24</f>
        <v>0</v>
      </c>
      <c r="I24" s="371" t="str">
        <f>IF(H24=0,"","ISSUES!! Please review page 8 and 12 totals in comparison with total on this page")</f>
        <v/>
      </c>
      <c r="N24"/>
    </row>
    <row r="25" spans="1:14" x14ac:dyDescent="0.2">
      <c r="A25" s="21" t="s">
        <v>1023</v>
      </c>
      <c r="B25" s="301">
        <f>IFERROR(VLOOKUP(A25,'School Tables'!$I$3:$J$80,2,FALSE),"")</f>
        <v>26505</v>
      </c>
      <c r="C25" s="294" t="str">
        <f t="array" ref="C25">IFERROR(INDEX('School Tables'!$H$3:$H$80,MATCH('School Level Expenditures'!B25,'School Tables'!$J$3:$J$80,0)),"")</f>
        <v>Epping</v>
      </c>
      <c r="D25" s="291">
        <v>4172837.01</v>
      </c>
      <c r="E25" s="291">
        <v>177662.25</v>
      </c>
      <c r="F25" s="304">
        <f>D25+E25</f>
        <v>4350499.26</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4172837.01</v>
      </c>
      <c r="E33" s="351">
        <f>SUM(E25:E32)</f>
        <v>177662.25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5905884.4899999993</v>
      </c>
      <c r="G36" s="300">
        <f>'DOE25'!L248+'DOE25'!L329</f>
        <v>5905884.4900000002</v>
      </c>
      <c r="H36" s="353">
        <f>F36-G36</f>
        <v>0</v>
      </c>
      <c r="I36" s="371" t="str">
        <f>IF(H36=0,"","ISSUES!! Please review page 9 and 13 totals in comparison with total on this page")</f>
        <v/>
      </c>
      <c r="N36"/>
    </row>
    <row r="37" spans="1:14" x14ac:dyDescent="0.2">
      <c r="A37" s="21" t="s">
        <v>1542</v>
      </c>
      <c r="B37" s="301">
        <f>IFERROR(VLOOKUP(A37,'School Tables'!$O$3:$P$118,2,FALSE),"")</f>
        <v>20515</v>
      </c>
      <c r="C37" s="294" t="str">
        <f t="array" ref="C37">IFERROR(INDEX('School Tables'!$N$3:$N$118,MATCH('School Level Expenditures'!B37,'School Tables'!$P$3:$P$118,0)),"")</f>
        <v>Epping</v>
      </c>
      <c r="D37" s="291">
        <v>5647065.0599999996</v>
      </c>
      <c r="E37" s="291">
        <v>258819.43</v>
      </c>
      <c r="F37" s="304">
        <f t="shared" ref="F37:F42" si="2">D37+E37</f>
        <v>5905884.4899999993</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5647065.0599999996</v>
      </c>
      <c r="E43" s="352">
        <f>SUM(E37:E42)</f>
        <v>258819.43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I9" sqref="I9"/>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Epping</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1606127.33</v>
      </c>
      <c r="D8" s="95">
        <f>'DOE25'!G9</f>
        <v>30733.07</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366160.04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'DOE25'!F23</f>
        <v>458889.25</v>
      </c>
      <c r="D12" s="95">
        <f>'DOE25'!G13</f>
        <v>5627.23</v>
      </c>
      <c r="E12" s="95">
        <f>'DOE25'!H13</f>
        <v>459323.08</v>
      </c>
      <c r="F12" s="95">
        <f>'DOE25'!I13</f>
        <v>288019.12</v>
      </c>
      <c r="G12" s="95">
        <f>'DOE25'!J13</f>
        <v>0</v>
      </c>
      <c r="H12" s="124"/>
      <c r="I12" s="124"/>
    </row>
    <row r="13" spans="1:9" x14ac:dyDescent="0.2">
      <c r="A13" s="1" t="s">
        <v>144</v>
      </c>
      <c r="B13" s="6">
        <v>150</v>
      </c>
      <c r="C13" s="95">
        <f>'DOE25'!F14</f>
        <v>0</v>
      </c>
      <c r="D13" s="95">
        <f>'DOE25'!G14</f>
        <v>27475.14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30489.53</v>
      </c>
      <c r="D16" s="95">
        <f>'DOE25'!G17</f>
        <v>199.45</v>
      </c>
      <c r="E16" s="95">
        <f>'DOE25'!H17</f>
        <v>0</v>
      </c>
      <c r="F16" s="95">
        <f>'DOE25'!I17</f>
        <v>0</v>
      </c>
      <c r="G16" s="95">
        <f>'DOE25'!J17</f>
        <v>0</v>
      </c>
      <c r="H16" s="124"/>
      <c r="I16" s="124"/>
    </row>
    <row r="17" spans="1:9" ht="12" thickBot="1" x14ac:dyDescent="0.25">
      <c r="A17" s="1" t="s">
        <v>148</v>
      </c>
      <c r="B17" s="6">
        <v>190</v>
      </c>
      <c r="C17" s="95">
        <f>'DOE25'!F18</f>
        <v>249.99</v>
      </c>
      <c r="D17" s="95">
        <f>'DOE25'!G18</f>
        <v>0</v>
      </c>
      <c r="E17" s="95">
        <f>'DOE25'!H18</f>
        <v>0</v>
      </c>
      <c r="F17" s="95">
        <f>'DOE25'!I18</f>
        <v>0</v>
      </c>
      <c r="G17" s="95">
        <f>'DOE25'!J18</f>
        <v>0</v>
      </c>
      <c r="H17" s="124"/>
      <c r="I17" s="124"/>
    </row>
    <row r="18" spans="1:9" ht="12" thickTop="1" x14ac:dyDescent="0.2">
      <c r="A18" s="38" t="s">
        <v>149</v>
      </c>
      <c r="B18" s="39"/>
      <c r="C18" s="41">
        <f>SUM(C8:C17)</f>
        <v>2095756.1</v>
      </c>
      <c r="D18" s="41">
        <f>SUM(D8:D17)</f>
        <v>64034.89</v>
      </c>
      <c r="E18" s="41">
        <f>SUM(E8:E17)</f>
        <v>459323.08</v>
      </c>
      <c r="F18" s="41">
        <f>SUM(F8:F17)</f>
        <v>288019.12</v>
      </c>
      <c r="G18" s="41">
        <f>SUM(G8:G17)</f>
        <v>366160.04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62333.049999999988</v>
      </c>
      <c r="E21" s="95">
        <f>'DOE25'!H22</f>
        <v>459319.27</v>
      </c>
      <c r="F21" s="95">
        <f>'DOE25'!I22</f>
        <v>-63549.45</v>
      </c>
      <c r="G21" s="95">
        <f>'DOE25'!J22</f>
        <v>0</v>
      </c>
      <c r="H21" s="124"/>
      <c r="I21" s="124"/>
    </row>
    <row r="22" spans="1:9" x14ac:dyDescent="0.2">
      <c r="A22" s="1" t="s">
        <v>151</v>
      </c>
      <c r="B22" s="6">
        <v>410</v>
      </c>
      <c r="C22" s="95">
        <f>'DOE25'!F13</f>
        <v>880466.1</v>
      </c>
      <c r="D22" s="95">
        <f>'DOE25'!G23</f>
        <v>0</v>
      </c>
      <c r="E22" s="95">
        <f>'DOE25'!H23</f>
        <v>0</v>
      </c>
      <c r="F22" s="95">
        <f>'DOE25'!I23</f>
        <v>0</v>
      </c>
      <c r="G22" s="95">
        <f>'DOE25'!J23</f>
        <v>0</v>
      </c>
      <c r="H22" s="124"/>
      <c r="I22" s="124"/>
    </row>
    <row r="23" spans="1:9" x14ac:dyDescent="0.2">
      <c r="A23" s="1" t="s">
        <v>152</v>
      </c>
      <c r="B23" s="6">
        <v>420</v>
      </c>
      <c r="C23" s="95">
        <f>'DOE25'!F24</f>
        <v>38.97</v>
      </c>
      <c r="D23" s="95">
        <f>'DOE25'!G24</f>
        <v>3.44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53407.040000000001</v>
      </c>
      <c r="D28" s="95">
        <f>'DOE25'!G29</f>
        <v>0</v>
      </c>
      <c r="E28" s="95">
        <f>'DOE25'!H29</f>
        <v>0</v>
      </c>
      <c r="F28" s="95">
        <f>'DOE25'!I29</f>
        <v>0</v>
      </c>
      <c r="G28" s="24" t="s">
        <v>288</v>
      </c>
      <c r="H28" s="124"/>
      <c r="I28" s="124"/>
    </row>
    <row r="29" spans="1:9" x14ac:dyDescent="0.2">
      <c r="A29" s="1" t="s">
        <v>158</v>
      </c>
      <c r="B29" s="6">
        <v>480</v>
      </c>
      <c r="C29" s="95">
        <f>'DOE25'!F30</f>
        <v>0</v>
      </c>
      <c r="D29" s="95">
        <f>'DOE25'!G30</f>
        <v>1698.4</v>
      </c>
      <c r="E29" s="95">
        <f>'DOE25'!H30</f>
        <v>0</v>
      </c>
      <c r="F29" s="95">
        <f>'DOE25'!I30</f>
        <v>351568.75</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933912.11</v>
      </c>
      <c r="D31" s="41">
        <f>SUM(D21:D30)</f>
        <v>64034.889999999992</v>
      </c>
      <c r="E31" s="41">
        <f>SUM(E21:E30)</f>
        <v>459319.27</v>
      </c>
      <c r="F31" s="41">
        <f>SUM(F21:F30)</f>
        <v>288019.3</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'DOE25'!F37</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3.81</v>
      </c>
      <c r="F38" s="95">
        <f>'DOE25'!I39</f>
        <v>-0.18</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366160.04</v>
      </c>
      <c r="H47" s="124"/>
      <c r="I47" s="124"/>
    </row>
    <row r="48" spans="1:9" x14ac:dyDescent="0.2">
      <c r="A48" s="1" t="s">
        <v>882</v>
      </c>
      <c r="B48" s="6">
        <v>753</v>
      </c>
      <c r="C48" s="95">
        <f>'DOE25'!F49</f>
        <v>293182.42</v>
      </c>
      <c r="D48" s="95">
        <f>'DOE25'!G49</f>
        <v>0</v>
      </c>
      <c r="E48" s="95">
        <f>'DOE25'!H49</f>
        <v>0</v>
      </c>
      <c r="F48" s="95">
        <f>'DOE25'!I49</f>
        <v>0</v>
      </c>
      <c r="G48" s="95">
        <f>'DOE25'!J49</f>
        <v>0</v>
      </c>
      <c r="H48" s="124"/>
      <c r="I48" s="124"/>
    </row>
    <row r="49" spans="1:9" ht="12" thickBot="1" x14ac:dyDescent="0.25">
      <c r="A49" s="29" t="s">
        <v>883</v>
      </c>
      <c r="B49" s="71">
        <v>770</v>
      </c>
      <c r="C49" s="95">
        <f>'DOE25'!F50</f>
        <v>1261815.27</v>
      </c>
      <c r="D49" s="24" t="s">
        <v>288</v>
      </c>
      <c r="E49" s="24" t="s">
        <v>288</v>
      </c>
      <c r="F49" s="24" t="s">
        <v>288</v>
      </c>
      <c r="G49" s="24" t="s">
        <v>288</v>
      </c>
      <c r="H49" s="124"/>
      <c r="I49" s="124"/>
    </row>
    <row r="50" spans="1:9" ht="12.75" thickTop="1" thickBot="1" x14ac:dyDescent="0.25">
      <c r="A50" s="38" t="s">
        <v>884</v>
      </c>
      <c r="B50" s="48"/>
      <c r="C50" s="41">
        <f>SUM(C34:C49)</f>
        <v>2004997.69</v>
      </c>
      <c r="D50" s="41">
        <f>SUM(D34:D49)</f>
        <v>0</v>
      </c>
      <c r="E50" s="41">
        <f>SUM(E34:E49)</f>
        <v>3.81</v>
      </c>
      <c r="F50" s="41">
        <f>SUM(F34:F49)</f>
        <v>-0.18</v>
      </c>
      <c r="G50" s="41">
        <f>SUM(G34:G49)</f>
        <v>366160.04</v>
      </c>
      <c r="H50" s="124"/>
      <c r="I50" s="124"/>
    </row>
    <row r="51" spans="1:9" ht="12" thickTop="1" x14ac:dyDescent="0.2">
      <c r="A51" s="38" t="s">
        <v>885</v>
      </c>
      <c r="B51" s="2"/>
      <c r="C51" s="41">
        <f>C50+C31</f>
        <v>2938909.8</v>
      </c>
      <c r="D51" s="41">
        <f>D50+D31</f>
        <v>64034.889999999992</v>
      </c>
      <c r="E51" s="41">
        <f>E50+E31</f>
        <v>459323.08</v>
      </c>
      <c r="F51" s="41">
        <f>F50+F31</f>
        <v>288019.12</v>
      </c>
      <c r="G51" s="41">
        <f>G50+G31</f>
        <v>366160.04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14307196</v>
      </c>
      <c r="D56" s="95">
        <f>'DOE25'!G60</f>
        <v>0</v>
      </c>
      <c r="E56" s="95">
        <f>'DOE25'!H60</f>
        <v>0</v>
      </c>
      <c r="F56" s="95">
        <f>'DOE25'!I60</f>
        <v>0</v>
      </c>
      <c r="G56" s="95">
        <f>'DOE25'!J60</f>
        <v>0</v>
      </c>
      <c r="H56"/>
      <c r="I56"/>
    </row>
    <row r="57" spans="1:9" x14ac:dyDescent="0.2">
      <c r="A57" s="1" t="s">
        <v>164</v>
      </c>
      <c r="B57" s="6" t="s">
        <v>165</v>
      </c>
      <c r="C57" s="95">
        <f>'DOE25'!F79</f>
        <v>26941.379999999997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1545.64</v>
      </c>
      <c r="D59" s="95">
        <f>'DOE25'!G96</f>
        <v>0</v>
      </c>
      <c r="E59" s="95">
        <f>'DOE25'!H96</f>
        <v>0</v>
      </c>
      <c r="F59" s="95">
        <f>'DOE25'!I96</f>
        <v>0</v>
      </c>
      <c r="G59" s="95">
        <f>'DOE25'!J96</f>
        <v>1272.52</v>
      </c>
      <c r="H59"/>
      <c r="I59"/>
    </row>
    <row r="60" spans="1:9" x14ac:dyDescent="0.2">
      <c r="A60" s="1" t="s">
        <v>170</v>
      </c>
      <c r="B60" s="118" t="s">
        <v>171</v>
      </c>
      <c r="C60" s="24" t="s">
        <v>288</v>
      </c>
      <c r="D60" s="95">
        <f>'DOE25'!G97</f>
        <v>143900.87</v>
      </c>
      <c r="E60" s="24" t="s">
        <v>288</v>
      </c>
      <c r="F60" s="24" t="s">
        <v>288</v>
      </c>
      <c r="G60" s="24" t="s">
        <v>288</v>
      </c>
      <c r="H60"/>
      <c r="I60"/>
    </row>
    <row r="61" spans="1:9" ht="12" thickBot="1" x14ac:dyDescent="0.25">
      <c r="A61" s="1" t="s">
        <v>172</v>
      </c>
      <c r="B61" s="118" t="s">
        <v>173</v>
      </c>
      <c r="C61" s="95">
        <f>SUM('DOE25'!F98:F110)</f>
        <v>576942.32999999996</v>
      </c>
      <c r="D61" s="95">
        <f>SUM('DOE25'!G98:G110)</f>
        <v>7890</v>
      </c>
      <c r="E61" s="95">
        <f>SUM('DOE25'!H98:H110)</f>
        <v>0</v>
      </c>
      <c r="F61" s="95">
        <f>SUM('DOE25'!I98:I110)</f>
        <v>0</v>
      </c>
      <c r="G61" s="95">
        <f>SUM('DOE25'!J98:J110)</f>
        <v>0</v>
      </c>
      <c r="H61"/>
      <c r="I61"/>
    </row>
    <row r="62" spans="1:9" ht="12.75" thickTop="1" thickBot="1" x14ac:dyDescent="0.25">
      <c r="A62" s="29" t="s">
        <v>174</v>
      </c>
      <c r="B62" s="6"/>
      <c r="C62" s="130">
        <f>SUM(C57:C61)</f>
        <v>605429.35</v>
      </c>
      <c r="D62" s="130">
        <f>SUM(D57:D61)</f>
        <v>151790.87</v>
      </c>
      <c r="E62" s="130">
        <f>SUM(E57:E61)</f>
        <v>0</v>
      </c>
      <c r="F62" s="130">
        <f>SUM(F57:F61)</f>
        <v>0</v>
      </c>
      <c r="G62" s="130">
        <f>SUM(G57:G61)</f>
        <v>1272.52</v>
      </c>
      <c r="H62"/>
      <c r="I62"/>
    </row>
    <row r="63" spans="1:9" ht="12" thickTop="1" x14ac:dyDescent="0.2">
      <c r="A63" s="29" t="s">
        <v>175</v>
      </c>
      <c r="B63" s="6"/>
      <c r="C63" s="22">
        <f>C56+C62</f>
        <v>14912625.35</v>
      </c>
      <c r="D63" s="22">
        <f>D56+D62</f>
        <v>151790.87</v>
      </c>
      <c r="E63" s="22">
        <f>E56+E62</f>
        <v>0</v>
      </c>
      <c r="F63" s="22">
        <f>F56+F62</f>
        <v>0</v>
      </c>
      <c r="G63" s="22">
        <f>G56+G62</f>
        <v>1272.52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3072837.18</v>
      </c>
      <c r="D66" s="24" t="s">
        <v>288</v>
      </c>
      <c r="E66" s="24" t="s">
        <v>288</v>
      </c>
      <c r="F66" s="24" t="s">
        <v>288</v>
      </c>
      <c r="G66" s="24" t="s">
        <v>288</v>
      </c>
      <c r="H66"/>
      <c r="I66"/>
    </row>
    <row r="67" spans="1:9" x14ac:dyDescent="0.2">
      <c r="A67" s="1" t="s">
        <v>770</v>
      </c>
      <c r="B67" s="6">
        <v>3112</v>
      </c>
      <c r="C67" s="95">
        <f>'DOE25'!F118</f>
        <v>1757502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5098.96</v>
      </c>
      <c r="D69" s="95">
        <f>'DOE25'!G120</f>
        <v>0</v>
      </c>
      <c r="E69" s="95">
        <f>'DOE25'!H120</f>
        <v>0</v>
      </c>
      <c r="F69" s="95">
        <f>'DOE25'!I120</f>
        <v>0</v>
      </c>
      <c r="G69" s="95">
        <f>'DOE25'!J120</f>
        <v>0</v>
      </c>
      <c r="H69"/>
      <c r="I69"/>
    </row>
    <row r="70" spans="1:9" ht="12" thickTop="1" x14ac:dyDescent="0.2">
      <c r="A70" s="29" t="s">
        <v>252</v>
      </c>
      <c r="B70" s="2"/>
      <c r="C70" s="139">
        <f>SUM(C66:C69)</f>
        <v>4835438.1399999997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301874.61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50164.28</v>
      </c>
      <c r="D75" s="24" t="s">
        <v>288</v>
      </c>
      <c r="E75" s="24" t="s">
        <v>288</v>
      </c>
      <c r="F75" s="24" t="s">
        <v>288</v>
      </c>
      <c r="G75" s="24" t="s">
        <v>288</v>
      </c>
      <c r="H75"/>
      <c r="I75"/>
    </row>
    <row r="76" spans="1:9" x14ac:dyDescent="0.2">
      <c r="A76" s="1" t="s">
        <v>257</v>
      </c>
      <c r="B76" s="6" t="s">
        <v>179</v>
      </c>
      <c r="C76" s="95">
        <f>SUM('DOE25'!F127:F130)</f>
        <v>9573.98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4153.5200000000004</v>
      </c>
      <c r="E77" s="95">
        <f>SUM('DOE25'!H131:H135)</f>
        <v>0</v>
      </c>
      <c r="F77" s="95">
        <f>SUM('DOE25'!I131:I135)</f>
        <v>0</v>
      </c>
      <c r="G77" s="95">
        <f>SUM('DOE25'!J131:J135)</f>
        <v>0</v>
      </c>
      <c r="H77"/>
      <c r="I77"/>
    </row>
    <row r="78" spans="1:9" ht="12.75" thickTop="1" thickBot="1" x14ac:dyDescent="0.25">
      <c r="A78" s="29" t="s">
        <v>259</v>
      </c>
      <c r="B78" s="6"/>
      <c r="C78" s="130">
        <f>SUM(C72:C77)</f>
        <v>361612.87</v>
      </c>
      <c r="D78" s="130">
        <f>SUM(D72:D77)</f>
        <v>4153.5200000000004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5197051.01</v>
      </c>
      <c r="D81" s="130">
        <f>SUM(D79:D80)+D78+D70</f>
        <v>4153.5200000000004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47266.13</v>
      </c>
      <c r="D88" s="331">
        <f>SUM('DOE25'!G153:G162)</f>
        <v>71259.39</v>
      </c>
      <c r="E88" s="331">
        <f>SUM('DOE25'!H153:H162)</f>
        <v>999263.49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47266.13</v>
      </c>
      <c r="D91" s="131">
        <f>SUM(D85:D90)</f>
        <v>71259.39</v>
      </c>
      <c r="E91" s="131">
        <f>SUM(E85:E90)</f>
        <v>999263.49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288019.3</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37440.57</v>
      </c>
      <c r="E96" s="95">
        <f>'DOE25'!H181</f>
        <v>0</v>
      </c>
      <c r="F96" s="95">
        <f>'DOE25'!I180</f>
        <v>0</v>
      </c>
      <c r="G96" s="95">
        <f>'DOE25'!J180</f>
        <v>250000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141431.25</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3.71</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37440.57</v>
      </c>
      <c r="E103" s="86">
        <f>SUM(E93:E102)</f>
        <v>3.71</v>
      </c>
      <c r="F103" s="86">
        <f>SUM(F93:F102)</f>
        <v>429450.55</v>
      </c>
      <c r="G103" s="86">
        <f>SUM(G93:G102)</f>
        <v>250000</v>
      </c>
    </row>
    <row r="104" spans="1:7" ht="12.75" thickTop="1" thickBot="1" x14ac:dyDescent="0.25">
      <c r="A104" s="33" t="s">
        <v>761</v>
      </c>
      <c r="C104" s="86">
        <f>C63+C81+C91+C103</f>
        <v>20156942.489999998</v>
      </c>
      <c r="D104" s="86">
        <f>D63+D81+D91+D103</f>
        <v>264644.34999999998</v>
      </c>
      <c r="E104" s="86">
        <f>E63+E81+E91+E103</f>
        <v>999267.2</v>
      </c>
      <c r="F104" s="86">
        <f>F63+F81+F91+F103</f>
        <v>429450.55</v>
      </c>
      <c r="G104" s="86">
        <f>G63+G81+G103</f>
        <v>251272.52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7680681.6199999992</v>
      </c>
      <c r="D109" s="24" t="s">
        <v>288</v>
      </c>
      <c r="E109" s="95">
        <f>('DOE25'!L277)+('DOE25'!L296)+('DOE25'!L315)</f>
        <v>386244.03</v>
      </c>
      <c r="F109" s="24" t="s">
        <v>288</v>
      </c>
      <c r="G109" s="24" t="s">
        <v>288</v>
      </c>
    </row>
    <row r="110" spans="1:7" x14ac:dyDescent="0.2">
      <c r="A110" t="s">
        <v>198</v>
      </c>
      <c r="B110" s="32" t="s">
        <v>199</v>
      </c>
      <c r="C110" s="95">
        <f>('DOE25'!L199)+('DOE25'!L217)+('DOE25'!L235)</f>
        <v>2564847.8299999996</v>
      </c>
      <c r="D110" s="24" t="s">
        <v>288</v>
      </c>
      <c r="E110" s="95">
        <f>('DOE25'!L278)+('DOE25'!L297)+('DOE25'!L316)</f>
        <v>76003.7</v>
      </c>
      <c r="F110" s="24" t="s">
        <v>288</v>
      </c>
      <c r="G110" s="24" t="s">
        <v>288</v>
      </c>
    </row>
    <row r="111" spans="1:7" x14ac:dyDescent="0.2">
      <c r="A111" t="s">
        <v>200</v>
      </c>
      <c r="B111" s="32" t="s">
        <v>165</v>
      </c>
      <c r="C111" s="95">
        <f>('DOE25'!L200)+('DOE25'!L218)+('DOE25'!L236)</f>
        <v>156192</v>
      </c>
      <c r="D111" s="24" t="s">
        <v>288</v>
      </c>
      <c r="E111" s="95">
        <f>('DOE25'!L279)+('DOE25'!L298)+('DOE25'!L317)</f>
        <v>0</v>
      </c>
      <c r="F111" s="24" t="s">
        <v>288</v>
      </c>
      <c r="G111" s="24" t="s">
        <v>288</v>
      </c>
    </row>
    <row r="112" spans="1:7" x14ac:dyDescent="0.2">
      <c r="A112" t="s">
        <v>201</v>
      </c>
      <c r="B112" s="32" t="s">
        <v>167</v>
      </c>
      <c r="C112" s="95">
        <f>('DOE25'!L201)+('DOE25'!L219)+('DOE25'!L237)</f>
        <v>296661.46999999997</v>
      </c>
      <c r="D112" s="24" t="s">
        <v>288</v>
      </c>
      <c r="E112" s="95">
        <f>+('DOE25'!L280)+('DOE25'!L299)+('DOE25'!L318)</f>
        <v>478.8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10698382.92</v>
      </c>
      <c r="D115" s="86">
        <f>SUM(D109:D114)</f>
        <v>0</v>
      </c>
      <c r="E115" s="86">
        <f>SUM(E109:E114)</f>
        <v>462726.53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1625433.17</v>
      </c>
      <c r="D118" s="24" t="s">
        <v>288</v>
      </c>
      <c r="E118" s="95">
        <f>+('DOE25'!L282)+('DOE25'!L301)+('DOE25'!L320)</f>
        <v>100300.14</v>
      </c>
      <c r="F118" s="24" t="s">
        <v>288</v>
      </c>
      <c r="G118" s="24" t="s">
        <v>288</v>
      </c>
    </row>
    <row r="119" spans="1:7" x14ac:dyDescent="0.2">
      <c r="A119" t="s">
        <v>208</v>
      </c>
      <c r="B119" s="32" t="s">
        <v>209</v>
      </c>
      <c r="C119" s="95">
        <f>('DOE25'!L204)+('DOE25'!L222)+('DOE25'!L240)</f>
        <v>907167.78</v>
      </c>
      <c r="D119" s="24" t="s">
        <v>288</v>
      </c>
      <c r="E119" s="95">
        <f>+('DOE25'!L283)+('DOE25'!L302)+('DOE25'!L321)</f>
        <v>160042.59</v>
      </c>
      <c r="F119" s="24" t="s">
        <v>288</v>
      </c>
      <c r="G119" s="24" t="s">
        <v>288</v>
      </c>
    </row>
    <row r="120" spans="1:7" x14ac:dyDescent="0.2">
      <c r="A120" t="s">
        <v>210</v>
      </c>
      <c r="B120" s="32" t="s">
        <v>211</v>
      </c>
      <c r="C120" s="95">
        <f>('DOE25'!L205)+('DOE25'!L223)+('DOE25'!L241)</f>
        <v>972064.16</v>
      </c>
      <c r="D120" s="24" t="s">
        <v>288</v>
      </c>
      <c r="E120" s="95">
        <f>+('DOE25'!L284)+('DOE25'!L303)+('DOE25'!L322)</f>
        <v>948.43000000000006</v>
      </c>
      <c r="F120" s="24" t="s">
        <v>288</v>
      </c>
      <c r="G120" s="24" t="s">
        <v>288</v>
      </c>
    </row>
    <row r="121" spans="1:7" x14ac:dyDescent="0.2">
      <c r="A121" t="s">
        <v>212</v>
      </c>
      <c r="B121" s="32" t="s">
        <v>213</v>
      </c>
      <c r="C121" s="95">
        <f>('DOE25'!L206)+('DOE25'!L224)+('DOE25'!L242)</f>
        <v>1332021.8999999999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1522087.7100000002</v>
      </c>
      <c r="D123" s="24" t="s">
        <v>288</v>
      </c>
      <c r="E123" s="95">
        <f>+('DOE25'!L287)+('DOE25'!L306)+('DOE25'!L325)</f>
        <v>275249.51</v>
      </c>
      <c r="F123" s="24" t="s">
        <v>288</v>
      </c>
      <c r="G123" s="24" t="s">
        <v>288</v>
      </c>
    </row>
    <row r="124" spans="1:7" x14ac:dyDescent="0.2">
      <c r="A124" t="s">
        <v>218</v>
      </c>
      <c r="B124" s="32" t="s">
        <v>219</v>
      </c>
      <c r="C124" s="95">
        <f>('DOE25'!L209)+('DOE25'!L227)+('DOE25'!L245+'DOE25'!L255)</f>
        <v>594124.76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264643.80000000005</v>
      </c>
      <c r="E127" s="24" t="s">
        <v>288</v>
      </c>
      <c r="F127" s="24" t="s">
        <v>288</v>
      </c>
      <c r="G127" s="24" t="s">
        <v>288</v>
      </c>
    </row>
    <row r="128" spans="1:7" ht="12.75" thickTop="1" thickBot="1" x14ac:dyDescent="0.25">
      <c r="A128" s="33" t="s">
        <v>226</v>
      </c>
      <c r="C128" s="86">
        <f>SUM(C118:C127)</f>
        <v>6952899.4799999995</v>
      </c>
      <c r="D128" s="86">
        <f>SUM(D118:D127)</f>
        <v>264643.80000000005</v>
      </c>
      <c r="E128" s="86">
        <f>SUM(E118:E127)</f>
        <v>536540.66999999993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429450.55</v>
      </c>
      <c r="G130" s="24" t="s">
        <v>288</v>
      </c>
    </row>
    <row r="131" spans="1:7" x14ac:dyDescent="0.2">
      <c r="A131" t="s">
        <v>229</v>
      </c>
      <c r="B131" s="32">
        <v>5110</v>
      </c>
      <c r="C131" s="95">
        <f>'DOE25'!L261</f>
        <v>820000</v>
      </c>
      <c r="D131" s="24" t="s">
        <v>288</v>
      </c>
      <c r="E131" s="129">
        <f>'DOE25'!L342</f>
        <v>0</v>
      </c>
      <c r="F131" s="24" t="s">
        <v>288</v>
      </c>
      <c r="G131" s="24" t="s">
        <v>288</v>
      </c>
    </row>
    <row r="132" spans="1:7" x14ac:dyDescent="0.2">
      <c r="A132" t="s">
        <v>230</v>
      </c>
      <c r="B132" s="32">
        <v>5120</v>
      </c>
      <c r="C132" s="95">
        <f>'DOE25'!L262</f>
        <v>187083.5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493000</v>
      </c>
    </row>
    <row r="135" spans="1:7" x14ac:dyDescent="0.2">
      <c r="A135" t="s">
        <v>233</v>
      </c>
      <c r="B135" s="32" t="s">
        <v>234</v>
      </c>
      <c r="C135" s="95">
        <f>'DOE25'!L264</f>
        <v>37440.57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200954.95</v>
      </c>
      <c r="D138" s="24" t="s">
        <v>288</v>
      </c>
      <c r="E138" s="24" t="s">
        <v>288</v>
      </c>
      <c r="F138" s="24" t="s">
        <v>288</v>
      </c>
      <c r="G138" s="24" t="s">
        <v>288</v>
      </c>
    </row>
    <row r="139" spans="1:7" x14ac:dyDescent="0.2">
      <c r="A139" t="s">
        <v>239</v>
      </c>
      <c r="B139" s="32">
        <v>5252</v>
      </c>
      <c r="C139" s="95">
        <f>'DOE25'!L402</f>
        <v>50317.57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-1272.5200000000186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1294524.07</v>
      </c>
      <c r="D144" s="141">
        <f>SUM(D130:D143)</f>
        <v>0</v>
      </c>
      <c r="E144" s="141">
        <f>SUM(E130:E143)</f>
        <v>0</v>
      </c>
      <c r="F144" s="141">
        <f>SUM(F130:F143)</f>
        <v>429450.55</v>
      </c>
      <c r="G144" s="141">
        <f>SUM(G130:G143)</f>
        <v>493000</v>
      </c>
    </row>
    <row r="145" spans="1:9" ht="12.75" thickTop="1" thickBot="1" x14ac:dyDescent="0.25">
      <c r="A145" s="33" t="s">
        <v>244</v>
      </c>
      <c r="C145" s="86">
        <f>(C115+C128+C144)</f>
        <v>18945806.469999999</v>
      </c>
      <c r="D145" s="86">
        <f>(D115+D128+D144)</f>
        <v>264643.80000000005</v>
      </c>
      <c r="E145" s="86">
        <f>(E115+E128+E144)</f>
        <v>999267.2</v>
      </c>
      <c r="F145" s="86">
        <f>(F115+F128+F144)</f>
        <v>429450.55</v>
      </c>
      <c r="G145" s="86">
        <f>(G115+G128+G144)</f>
        <v>493000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8/05</v>
      </c>
      <c r="C152" s="152" t="str">
        <f>'DOE25'!G492</f>
        <v>6/18</v>
      </c>
      <c r="D152" s="152">
        <f>'DOE25'!H492</f>
        <v>0</v>
      </c>
      <c r="E152" s="152">
        <f>'DOE25'!I492</f>
        <v>0</v>
      </c>
      <c r="F152" s="152">
        <f>'DOE25'!J492</f>
        <v>0</v>
      </c>
      <c r="G152" s="24" t="s">
        <v>288</v>
      </c>
    </row>
    <row r="153" spans="1:9" x14ac:dyDescent="0.2">
      <c r="A153" s="136" t="s">
        <v>29</v>
      </c>
      <c r="B153" s="152" t="str">
        <f>'DOE25'!F493</f>
        <v>8/25</v>
      </c>
      <c r="C153" s="152" t="str">
        <f>'DOE25'!G493</f>
        <v>8/28</v>
      </c>
      <c r="D153" s="152">
        <f>'DOE25'!H493</f>
        <v>0</v>
      </c>
      <c r="E153" s="152">
        <f>'DOE25'!I493</f>
        <v>0</v>
      </c>
      <c r="F153" s="152">
        <f>'DOE25'!J493</f>
        <v>0</v>
      </c>
      <c r="G153" s="24" t="s">
        <v>288</v>
      </c>
    </row>
    <row r="154" spans="1:9" x14ac:dyDescent="0.2">
      <c r="A154" s="136" t="s">
        <v>30</v>
      </c>
      <c r="B154" s="137">
        <f>'DOE25'!F494</f>
        <v>12072350</v>
      </c>
      <c r="C154" s="137">
        <f>'DOE25'!G494</f>
        <v>974600</v>
      </c>
      <c r="D154" s="137">
        <f>'DOE25'!H494</f>
        <v>0</v>
      </c>
      <c r="E154" s="137">
        <f>'DOE25'!I494</f>
        <v>0</v>
      </c>
      <c r="F154" s="137">
        <f>'DOE25'!J494</f>
        <v>0</v>
      </c>
      <c r="G154" s="24" t="s">
        <v>288</v>
      </c>
    </row>
    <row r="155" spans="1:9" x14ac:dyDescent="0.2">
      <c r="A155" s="136" t="s">
        <v>31</v>
      </c>
      <c r="B155" s="137">
        <f>'DOE25'!F495</f>
        <v>4.13</v>
      </c>
      <c r="C155" s="137">
        <f>'DOE25'!G495</f>
        <v>2.57</v>
      </c>
      <c r="D155" s="137">
        <f>'DOE25'!H495</f>
        <v>0</v>
      </c>
      <c r="E155" s="137">
        <f>'DOE25'!I495</f>
        <v>0</v>
      </c>
      <c r="F155" s="137">
        <f>'DOE25'!J495</f>
        <v>0</v>
      </c>
      <c r="G155" s="24" t="s">
        <v>288</v>
      </c>
    </row>
    <row r="156" spans="1:9" x14ac:dyDescent="0.2">
      <c r="A156" s="22" t="s">
        <v>32</v>
      </c>
      <c r="B156" s="137">
        <f>'DOE25'!F496</f>
        <v>4835000</v>
      </c>
      <c r="C156" s="137">
        <f>'DOE25'!G496</f>
        <v>870000</v>
      </c>
      <c r="D156" s="137">
        <f>'DOE25'!H496</f>
        <v>0</v>
      </c>
      <c r="E156" s="137">
        <f>'DOE25'!I496</f>
        <v>0</v>
      </c>
      <c r="F156" s="137">
        <f>'DOE25'!J496</f>
        <v>0</v>
      </c>
      <c r="G156" s="138">
        <f>SUM(B156:F156)</f>
        <v>5705000</v>
      </c>
    </row>
    <row r="157" spans="1:9" x14ac:dyDescent="0.2">
      <c r="A157" s="22" t="s">
        <v>33</v>
      </c>
      <c r="B157" s="137">
        <f>'DOE25'!F497</f>
        <v>720000</v>
      </c>
      <c r="C157" s="137">
        <f>'DOE25'!G497</f>
        <v>100000</v>
      </c>
      <c r="D157" s="137">
        <f>'DOE25'!H497</f>
        <v>0</v>
      </c>
      <c r="E157" s="137">
        <f>'DOE25'!I497</f>
        <v>0</v>
      </c>
      <c r="F157" s="137">
        <f>'DOE25'!J497</f>
        <v>0</v>
      </c>
      <c r="G157" s="138">
        <f t="shared" ref="G157:G164" si="0">SUM(B157:F157)</f>
        <v>820000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4115000</v>
      </c>
      <c r="C159" s="137">
        <f>'DOE25'!G499</f>
        <v>770000</v>
      </c>
      <c r="D159" s="137">
        <f>'DOE25'!H499</f>
        <v>0</v>
      </c>
      <c r="E159" s="137">
        <f>'DOE25'!I499</f>
        <v>0</v>
      </c>
      <c r="F159" s="137">
        <f>'DOE25'!J499</f>
        <v>0</v>
      </c>
      <c r="G159" s="138">
        <f t="shared" si="0"/>
        <v>4885000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4115000</v>
      </c>
      <c r="C161" s="137">
        <f>'DOE25'!G501</f>
        <v>770000</v>
      </c>
      <c r="D161" s="137">
        <f>'DOE25'!H501</f>
        <v>0</v>
      </c>
      <c r="E161" s="137">
        <f>'DOE25'!I501</f>
        <v>0</v>
      </c>
      <c r="F161" s="137">
        <f>'DOE25'!J501</f>
        <v>0</v>
      </c>
      <c r="G161" s="138">
        <f t="shared" si="0"/>
        <v>4885000</v>
      </c>
    </row>
    <row r="162" spans="1:7" x14ac:dyDescent="0.2">
      <c r="A162" s="22" t="s">
        <v>38</v>
      </c>
      <c r="B162" s="137">
        <f>'DOE25'!F502</f>
        <v>755000</v>
      </c>
      <c r="C162" s="137">
        <f>'DOE25'!G502</f>
        <v>100000</v>
      </c>
      <c r="D162" s="137">
        <f>'DOE25'!H502</f>
        <v>0</v>
      </c>
      <c r="E162" s="137">
        <f>'DOE25'!I502</f>
        <v>0</v>
      </c>
      <c r="F162" s="137">
        <f>'DOE25'!J502</f>
        <v>0</v>
      </c>
      <c r="G162" s="138">
        <f t="shared" si="0"/>
        <v>855000</v>
      </c>
    </row>
    <row r="163" spans="1:7" x14ac:dyDescent="0.2">
      <c r="A163" s="22" t="s">
        <v>39</v>
      </c>
      <c r="B163" s="137">
        <f>'DOE25'!F503</f>
        <v>114099.75</v>
      </c>
      <c r="C163" s="137">
        <f>'DOE25'!G503</f>
        <v>36720</v>
      </c>
      <c r="D163" s="137">
        <f>'DOE25'!H503</f>
        <v>0</v>
      </c>
      <c r="E163" s="137">
        <f>'DOE25'!I503</f>
        <v>0</v>
      </c>
      <c r="F163" s="137">
        <f>'DOE25'!J503</f>
        <v>0</v>
      </c>
      <c r="G163" s="138">
        <f t="shared" si="0"/>
        <v>150819.75</v>
      </c>
    </row>
    <row r="164" spans="1:7" x14ac:dyDescent="0.2">
      <c r="A164" s="22" t="s">
        <v>246</v>
      </c>
      <c r="B164" s="137">
        <f>'DOE25'!F504</f>
        <v>869099.75</v>
      </c>
      <c r="C164" s="137">
        <f>'DOE25'!G504</f>
        <v>136720</v>
      </c>
      <c r="D164" s="137">
        <f>'DOE25'!H504</f>
        <v>0</v>
      </c>
      <c r="E164" s="137">
        <f>'DOE25'!I504</f>
        <v>0</v>
      </c>
      <c r="F164" s="137">
        <f>'DOE25'!J504</f>
        <v>0</v>
      </c>
      <c r="G164" s="138">
        <f t="shared" si="0"/>
        <v>1005819.75</v>
      </c>
    </row>
  </sheetData>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3" t="s">
        <v>736</v>
      </c>
      <c r="B1" s="373"/>
      <c r="C1" s="373"/>
      <c r="D1" s="373"/>
    </row>
    <row r="2" spans="1:4" x14ac:dyDescent="0.2">
      <c r="A2" s="187" t="s">
        <v>713</v>
      </c>
      <c r="B2" s="186" t="str">
        <f>'DOE25'!A2</f>
        <v>Epping</v>
      </c>
    </row>
    <row r="3" spans="1:4" x14ac:dyDescent="0.2">
      <c r="B3" s="188" t="s">
        <v>1666</v>
      </c>
    </row>
    <row r="4" spans="1:4" x14ac:dyDescent="0.2">
      <c r="B4" t="s">
        <v>61</v>
      </c>
      <c r="C4" s="179">
        <f>IF('DOE25'!F666+'DOE25'!F671=0,0,ROUND('DOE25'!F673,0))</f>
        <v>18022</v>
      </c>
    </row>
    <row r="5" spans="1:4" x14ac:dyDescent="0.2">
      <c r="B5" t="s">
        <v>700</v>
      </c>
      <c r="C5" s="179">
        <f>IF('DOE25'!G666+'DOE25'!G671=0,0,ROUND('DOE25'!G673,0))</f>
        <v>21452</v>
      </c>
    </row>
    <row r="6" spans="1:4" x14ac:dyDescent="0.2">
      <c r="B6" t="s">
        <v>62</v>
      </c>
      <c r="C6" s="179">
        <f>IF('DOE25'!H666+'DOE25'!H671=0,0,ROUND('DOE25'!H673,0))</f>
        <v>22958</v>
      </c>
    </row>
    <row r="7" spans="1:4" x14ac:dyDescent="0.2">
      <c r="B7" t="s">
        <v>701</v>
      </c>
      <c r="C7" s="179">
        <f>IF('DOE25'!I666+'DOE25'!I671=0,0,ROUND('DOE25'!I673,0))</f>
        <v>20113</v>
      </c>
    </row>
    <row r="9" spans="1:4" x14ac:dyDescent="0.2">
      <c r="A9" s="187" t="s">
        <v>94</v>
      </c>
      <c r="B9" s="188" t="s">
        <v>1671</v>
      </c>
      <c r="C9" s="181" t="s">
        <v>720</v>
      </c>
      <c r="D9" s="181" t="s">
        <v>721</v>
      </c>
    </row>
    <row r="10" spans="1:4" x14ac:dyDescent="0.2">
      <c r="A10">
        <v>1100</v>
      </c>
      <c r="B10" t="s">
        <v>702</v>
      </c>
      <c r="C10" s="179">
        <f>ROUND('DOE25'!L198+'DOE25'!L216+'DOE25'!L234+'DOE25'!L277+'DOE25'!L296+'DOE25'!L315,0)</f>
        <v>8066926</v>
      </c>
      <c r="D10" s="182">
        <f>ROUND((C10/$C$28)*100,1)</f>
        <v>42.6</v>
      </c>
    </row>
    <row r="11" spans="1:4" x14ac:dyDescent="0.2">
      <c r="A11">
        <v>1200</v>
      </c>
      <c r="B11" t="s">
        <v>703</v>
      </c>
      <c r="C11" s="179">
        <f>ROUND('DOE25'!L199+'DOE25'!L217+'DOE25'!L235+'DOE25'!L278+'DOE25'!L297+'DOE25'!L316,0)</f>
        <v>2640852</v>
      </c>
      <c r="D11" s="182">
        <f>ROUND((C11/$C$28)*100,1)</f>
        <v>13.9</v>
      </c>
    </row>
    <row r="12" spans="1:4" x14ac:dyDescent="0.2">
      <c r="A12">
        <v>1300</v>
      </c>
      <c r="B12" t="s">
        <v>704</v>
      </c>
      <c r="C12" s="179">
        <f>ROUND('DOE25'!L200+'DOE25'!L218+'DOE25'!L236+'DOE25'!L279+'DOE25'!L298+'DOE25'!L317,0)</f>
        <v>156192</v>
      </c>
      <c r="D12" s="182">
        <f>ROUND((C12/$C$28)*100,1)</f>
        <v>0.8</v>
      </c>
    </row>
    <row r="13" spans="1:4" x14ac:dyDescent="0.2">
      <c r="A13">
        <v>1400</v>
      </c>
      <c r="B13" t="s">
        <v>705</v>
      </c>
      <c r="C13" s="179">
        <f>ROUND('DOE25'!L201+'DOE25'!L219+'DOE25'!L237+'DOE25'!L280+'DOE25'!L299+'DOE25'!L318,0)</f>
        <v>297140</v>
      </c>
      <c r="D13" s="182">
        <f>ROUND((C13/$C$28)*100,1)</f>
        <v>1.6</v>
      </c>
    </row>
    <row r="14" spans="1:4" x14ac:dyDescent="0.2">
      <c r="D14" s="182"/>
    </row>
    <row r="15" spans="1:4" x14ac:dyDescent="0.2">
      <c r="A15">
        <v>2100</v>
      </c>
      <c r="B15" t="s">
        <v>706</v>
      </c>
      <c r="C15" s="179">
        <f>ROUND('DOE25'!L203+'DOE25'!L221+'DOE25'!L239+'DOE25'!L282+'DOE25'!L301+'DOE25'!L320,0)</f>
        <v>1725733</v>
      </c>
      <c r="D15" s="182">
        <f t="shared" ref="D15:D27" si="0">ROUND((C15/$C$28)*100,1)</f>
        <v>9.1</v>
      </c>
    </row>
    <row r="16" spans="1:4" x14ac:dyDescent="0.2">
      <c r="A16">
        <v>2200</v>
      </c>
      <c r="B16" t="s">
        <v>707</v>
      </c>
      <c r="C16" s="179">
        <f>ROUND('DOE25'!L204+'DOE25'!L222+'DOE25'!L240+'DOE25'!L283+'DOE25'!L302+'DOE25'!L321,0)</f>
        <v>1067210</v>
      </c>
      <c r="D16" s="182">
        <f t="shared" si="0"/>
        <v>5.6</v>
      </c>
    </row>
    <row r="17" spans="1:4" x14ac:dyDescent="0.2">
      <c r="A17" s="183" t="s">
        <v>723</v>
      </c>
      <c r="B17" t="s">
        <v>738</v>
      </c>
      <c r="C17" s="179">
        <f>ROUND('DOE25'!L205+'DOE25'!L210+'DOE25'!L223+'DOE25'!L228+'DOE25'!L241+'DOE25'!L246+'DOE25'!L284+'DOE25'!L289+'DOE25'!L303+'DOE25'!L308+'DOE25'!L322+'DOE25'!L327,0)</f>
        <v>973013</v>
      </c>
      <c r="D17" s="182">
        <f t="shared" si="0"/>
        <v>5.0999999999999996</v>
      </c>
    </row>
    <row r="18" spans="1:4" x14ac:dyDescent="0.2">
      <c r="A18">
        <v>2400</v>
      </c>
      <c r="B18" t="s">
        <v>711</v>
      </c>
      <c r="C18" s="179">
        <f>ROUND('DOE25'!L206+'DOE25'!L224+'DOE25'!L242+'DOE25'!L285+'DOE25'!L304+'DOE25'!L323,0)</f>
        <v>1332022</v>
      </c>
      <c r="D18" s="182">
        <f t="shared" si="0"/>
        <v>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1797337</v>
      </c>
      <c r="D20" s="182">
        <f t="shared" si="0"/>
        <v>9.5</v>
      </c>
    </row>
    <row r="21" spans="1:4" x14ac:dyDescent="0.2">
      <c r="A21">
        <v>2700</v>
      </c>
      <c r="B21" t="s">
        <v>710</v>
      </c>
      <c r="C21" s="179">
        <f>ROUND('DOE25'!L209+'DOE25'!L227+'DOE25'!L245+'DOE25'!L288+'DOE25'!L307+'DOE25'!L326,0)</f>
        <v>594125</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187084</v>
      </c>
      <c r="D25" s="182">
        <f t="shared" si="0"/>
        <v>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112853.13</v>
      </c>
      <c r="D27" s="182">
        <f t="shared" si="0"/>
        <v>0.6</v>
      </c>
    </row>
    <row r="28" spans="1:4" x14ac:dyDescent="0.2">
      <c r="B28" s="187" t="s">
        <v>719</v>
      </c>
      <c r="C28" s="180">
        <f>SUM(C10:C27)</f>
        <v>18950487.129999999</v>
      </c>
      <c r="D28" s="184">
        <f>ROUND(SUM(D10:D27),0)</f>
        <v>100</v>
      </c>
    </row>
    <row r="29" spans="1:4" x14ac:dyDescent="0.2">
      <c r="A29">
        <v>4000</v>
      </c>
      <c r="B29" t="s">
        <v>724</v>
      </c>
      <c r="C29" s="179">
        <f>ROUND('DOE25'!L256+'DOE25'!L337+'DOE25'!L375+'DOE25'!L376+'DOE25'!L377+'DOE25'!L378+'DOE25'!L379+'DOE25'!L380+'DOE25'!L381,0)</f>
        <v>429451</v>
      </c>
    </row>
    <row r="30" spans="1:4" x14ac:dyDescent="0.2">
      <c r="B30" s="187" t="s">
        <v>725</v>
      </c>
      <c r="C30" s="180">
        <f>SUM(C28:C29)</f>
        <v>19379938.129999999</v>
      </c>
    </row>
    <row r="31" spans="1:4" x14ac:dyDescent="0.2">
      <c r="B31" s="33"/>
      <c r="C31" s="180"/>
    </row>
    <row r="32" spans="1:4" x14ac:dyDescent="0.2">
      <c r="A32">
        <v>5100</v>
      </c>
      <c r="B32" s="33" t="s">
        <v>726</v>
      </c>
      <c r="C32" s="180">
        <f>ROUND('DOE25'!L261+'DOE25'!L342,0)</f>
        <v>820000</v>
      </c>
    </row>
    <row r="34" spans="1:4" x14ac:dyDescent="0.2">
      <c r="A34" s="187" t="s">
        <v>94</v>
      </c>
      <c r="B34" s="188" t="s">
        <v>1667</v>
      </c>
      <c r="C34" s="181" t="s">
        <v>720</v>
      </c>
      <c r="D34" s="181" t="s">
        <v>721</v>
      </c>
    </row>
    <row r="35" spans="1:4" x14ac:dyDescent="0.2">
      <c r="A35">
        <v>1100</v>
      </c>
      <c r="B35" s="185" t="s">
        <v>727</v>
      </c>
      <c r="C35" s="179">
        <f>ROUND('DOE25'!F60+'DOE25'!G60+'DOE25'!H60+'DOE25'!I60+'DOE25'!J60,0)</f>
        <v>14307196</v>
      </c>
      <c r="D35" s="182">
        <f t="shared" ref="D35:D40" si="1">ROUND((C35/$C$41)*100,1)</f>
        <v>67.400000000000006</v>
      </c>
    </row>
    <row r="36" spans="1:4" x14ac:dyDescent="0.2">
      <c r="B36" s="185" t="s">
        <v>739</v>
      </c>
      <c r="C36" s="179">
        <f>SUM('DOE25'!F112:J112)-SUM('DOE25'!G97:G110)+('DOE25'!F175+'DOE25'!F176+'DOE25'!I175+'DOE25'!I176)-C35</f>
        <v>606701.87000000104</v>
      </c>
      <c r="D36" s="182">
        <f t="shared" si="1"/>
        <v>2.9</v>
      </c>
    </row>
    <row r="37" spans="1:4" x14ac:dyDescent="0.2">
      <c r="A37" s="183" t="s">
        <v>835</v>
      </c>
      <c r="B37" s="185" t="s">
        <v>728</v>
      </c>
      <c r="C37" s="179">
        <f>ROUND('DOE25'!F117+'DOE25'!F118,0)</f>
        <v>4830339</v>
      </c>
      <c r="D37" s="182">
        <f t="shared" si="1"/>
        <v>22.7</v>
      </c>
    </row>
    <row r="38" spans="1:4" x14ac:dyDescent="0.2">
      <c r="A38" s="183" t="s">
        <v>734</v>
      </c>
      <c r="B38" s="185" t="s">
        <v>729</v>
      </c>
      <c r="C38" s="179">
        <f>ROUND(SUM('DOE25'!F140:J140)-SUM('DOE25'!F117:F119),0)</f>
        <v>370865</v>
      </c>
      <c r="D38" s="182">
        <f t="shared" si="1"/>
        <v>1.7</v>
      </c>
    </row>
    <row r="39" spans="1:4" x14ac:dyDescent="0.2">
      <c r="A39">
        <v>4000</v>
      </c>
      <c r="B39" s="185" t="s">
        <v>730</v>
      </c>
      <c r="C39" s="179">
        <f>ROUND('DOE25'!F170+'DOE25'!G170+'DOE25'!H170+'DOE25'!I170,0)</f>
        <v>1117789</v>
      </c>
      <c r="D39" s="182">
        <f t="shared" si="1"/>
        <v>5.3</v>
      </c>
    </row>
    <row r="40" spans="1:4" x14ac:dyDescent="0.2">
      <c r="A40" s="183" t="s">
        <v>735</v>
      </c>
      <c r="B40" s="185" t="s">
        <v>731</v>
      </c>
      <c r="C40" s="179">
        <f>ROUND(SUM('DOE25'!F190:F192)+SUM('DOE25'!G190:G192)+SUM('DOE25'!H190:H192)+SUM('DOE25'!I190:I192),0)</f>
        <v>4</v>
      </c>
      <c r="D40" s="182">
        <f t="shared" si="1"/>
        <v>0</v>
      </c>
    </row>
    <row r="41" spans="1:4" x14ac:dyDescent="0.2">
      <c r="B41" s="187" t="s">
        <v>732</v>
      </c>
      <c r="C41" s="180">
        <f>SUM(C35:C40)</f>
        <v>21232894.870000001</v>
      </c>
      <c r="D41" s="184">
        <f>SUM(D35:D40)</f>
        <v>100.00000000000001</v>
      </c>
    </row>
    <row r="42" spans="1:4" x14ac:dyDescent="0.2">
      <c r="A42" s="183" t="s">
        <v>737</v>
      </c>
      <c r="B42" s="185" t="s">
        <v>733</v>
      </c>
      <c r="C42" s="179">
        <f>ROUND('DOE25'!F174+'DOE25'!I174+'DOE25'!F177+'DOE25'!I177,0)</f>
        <v>288019</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ColWidth="8.6640625" defaultRowHeight="11.25" x14ac:dyDescent="0.2"/>
  <cols>
    <col min="1" max="1" width="10.16406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Epping</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v>19</v>
      </c>
      <c r="B4" s="219">
        <v>3</v>
      </c>
      <c r="C4" s="376" t="s">
        <v>1676</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2021-09-02T13:50:22Z</cp:lastPrinted>
  <dcterms:created xsi:type="dcterms:W3CDTF">1997-12-04T19:04:30Z</dcterms:created>
  <dcterms:modified xsi:type="dcterms:W3CDTF">2021-12-14T17:48:31Z</dcterms:modified>
</cp:coreProperties>
</file>