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H4" i="14" s="1"/>
  <c r="I4" i="14" s="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G655" i="1"/>
  <c r="H655" i="1"/>
  <c r="H656" i="1"/>
  <c r="J656" i="1" s="1"/>
  <c r="G62" i="2"/>
  <c r="I170" i="1"/>
  <c r="G553" i="1" l="1"/>
  <c r="G477" i="1"/>
  <c r="B33" i="16" s="1"/>
  <c r="G646" i="1"/>
  <c r="J652" i="1"/>
  <c r="E110" i="2"/>
  <c r="C110" i="2"/>
  <c r="H477" i="1"/>
  <c r="H625" i="1" s="1"/>
  <c r="J625" i="1" s="1"/>
  <c r="H409" i="1"/>
  <c r="H645" i="1" s="1"/>
  <c r="C12" i="10"/>
  <c r="C120" i="2"/>
  <c r="C32" i="10"/>
  <c r="H663" i="1"/>
  <c r="D15" i="13"/>
  <c r="C15" i="13" s="1"/>
  <c r="C121" i="2"/>
  <c r="G339" i="1"/>
  <c r="G353" i="1" s="1"/>
  <c r="G662" i="1"/>
  <c r="J258" i="1"/>
  <c r="J272" i="1" s="1"/>
  <c r="D6" i="13"/>
  <c r="C6" i="13" s="1"/>
  <c r="A40" i="1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E128" i="2" s="1"/>
  <c r="L248" i="1"/>
  <c r="L212" i="1"/>
  <c r="F661" i="1" s="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4" i="1" l="1"/>
  <c r="J624" i="1" s="1"/>
  <c r="I663" i="1"/>
  <c r="C141" i="2"/>
  <c r="C144" i="2" s="1"/>
  <c r="E51" i="2"/>
  <c r="H194" i="1"/>
  <c r="G630" i="1" s="1"/>
  <c r="J630" i="1" s="1"/>
  <c r="F194" i="1"/>
  <c r="G628" i="1" s="1"/>
  <c r="J628" i="1" s="1"/>
  <c r="H661" i="1"/>
  <c r="H665" i="1" s="1"/>
  <c r="H668" i="1" s="1"/>
  <c r="H649" i="1"/>
  <c r="J649" i="1" s="1"/>
  <c r="E115" i="2"/>
  <c r="E145" i="2" s="1"/>
  <c r="C8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<sst xmlns="http://schemas.openxmlformats.org/spreadsheetml/2006/main" count="5578" uniqueCount="1678">
  <si>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</si>
  <si>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</si>
  <si>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</si>
  <si>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</si>
  <si>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</si>
  <si>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</si>
  <si>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</si>
  <si>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</si>
  <si>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</si>
  <si>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</si>
  <si>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</si>
  <si>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</si>
  <si>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</si>
  <si>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</si>
  <si>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</si>
  <si>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</si>
  <si>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</si>
  <si>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</si>
  <si>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</si>
  <si>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</si>
  <si>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</si>
  <si>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</si>
  <si>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</si>
  <si>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</si>
  <si>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</si>
  <si>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</si>
  <si>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</si>
  <si>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</si>
  <si>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</si>
  <si>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</si>
  <si>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</si>
  <si>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</si>
  <si>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</si>
  <si>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</si>
  <si>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</si>
  <si>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</si>
  <si>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</si>
  <si>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</si>
  <si>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</si>
  <si>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</si>
  <si>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</si>
  <si>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</si>
  <si>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</si>
  <si>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</si>
  <si>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</si>
  <si>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</si>
  <si>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</si>
  <si>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</si>
  <si>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</si>
  <si>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</si>
  <si>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</si>
  <si>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</si>
  <si>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</si>
  <si>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</si>
  <si>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</si>
  <si>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</si>
  <si>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</si>
  <si>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</si>
  <si>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</si>
  <si>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</si>
  <si>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</si>
  <si>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</si>
  <si>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</si>
  <si>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</si>
  <si>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</si>
  <si>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</si>
  <si>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</si>
  <si>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</si>
  <si>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</si>
  <si>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</si>
  <si>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</si>
  <si>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</si>
  <si>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</si>
  <si>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</si>
  <si>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</si>
  <si>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</si>
  <si>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</si>
  <si>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</si>
  <si>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</si>
  <si>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</si>
  <si>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</si>
  <si>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</si>
  <si>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</si>
  <si>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</si>
  <si>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</si>
  <si>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</si>
  <si>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</si>
  <si>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</si>
  <si>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</si>
  <si>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</si>
  <si>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</si>
  <si>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</si>
  <si>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</si>
  <si>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</si>
  <si>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</si>
  <si>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</si>
  <si>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</si>
  <si>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</si>
  <si>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</si>
  <si>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</si>
  <si>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</si>
  <si>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</si>
  <si>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</si>
  <si>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</si>
  <si>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</si>
  <si>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</si>
  <si>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</si>
  <si>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</si>
  <si>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</si>
  <si>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</si>
  <si>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</si>
  <si>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</si>
  <si>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</si>
  <si>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</si>
  <si>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</si>
  <si>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</si>
  <si>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</si>
  <si>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</si>
  <si>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</si>
  <si>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</si>
  <si>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</si>
  <si>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</si>
  <si>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</si>
  <si>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</si>
  <si>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</si>
  <si>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</si>
  <si>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</si>
  <si>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</si>
  <si>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</si>
  <si>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</si>
  <si>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</si>
  <si>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</si>
  <si>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</si>
  <si>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</si>
  <si>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</si>
  <si>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</si>
  <si>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</si>
  <si>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</si>
  <si>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</si>
  <si>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</si>
  <si>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</si>
  <si>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</si>
  <si>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</si>
  <si>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</si>
  <si>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</si>
  <si>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</si>
  <si>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</si>
  <si>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</si>
  <si>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</si>
  <si>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</si>
  <si>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</si>
  <si>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</si>
  <si>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</si>
  <si>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</si>
  <si>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</si>
  <si>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</si>
  <si>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</si>
  <si>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</si>
  <si>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</si>
  <si>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</si>
  <si>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</si>
  <si>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</si>
  <si>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</si>
  <si>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</si>
  <si>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</si>
  <si>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</si>
  <si>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</si>
  <si>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</si>
  <si>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</si>
  <si>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</si>
  <si>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</si>
  <si>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</si>
  <si>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</si>
  <si>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</si>
  <si>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</si>
  <si>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</si>
  <si>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</si>
  <si>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</si>
  <si>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</si>
  <si>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</si>
  <si>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</si>
  <si>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</si>
  <si>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</si>
  <si>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</si>
  <si>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</si>
  <si>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</si>
  <si>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</si>
  <si>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</si>
  <si>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</si>
  <si>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</si>
  <si>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</si>
  <si>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</si>
  <si>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</si>
  <si>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</si>
  <si>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</si>
  <si>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</si>
  <si>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</si>
  <si>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</si>
  <si>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</si>
  <si>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</si>
  <si>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</si>
  <si>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</si>
  <si>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</si>
  <si>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</si>
  <si>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</si>
  <si>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</si>
  <si>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</si>
  <si>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</si>
  <si>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</si>
  <si>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</si>
  <si>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</si>
  <si>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</si>
  <si>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</si>
  <si>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</si>
  <si>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</si>
  <si>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</si>
  <si>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</si>
  <si>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</si>
  <si>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</si>
  <si>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</si>
  <si>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</si>
  <si>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</si>
  <si>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</si>
  <si>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</si>
  <si>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</si>
  <si>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</si>
  <si>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</si>
  <si>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</si>
  <si>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</si>
  <si>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</si>
  <si>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</si>
  <si>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</si>
  <si>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</si>
  <si>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</si>
  <si>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</si>
  <si>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</si>
  <si>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</si>
  <si>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</si>
  <si>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</si>
  <si>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</si>
  <si>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</si>
  <si>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</si>
  <si>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</si>
  <si>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</si>
  <si>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</si>
  <si>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</si>
  <si>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</si>
  <si>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</si>
  <si>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</si>
  <si>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</si>
  <si>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</si>
  <si>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</si>
  <si>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</si>
  <si>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</si>
  <si>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</si>
  <si>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</si>
  <si>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</si>
  <si>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</si>
  <si>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</si>
  <si>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</si>
  <si>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</si>
  <si>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</si>
  <si>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</si>
  <si>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</si>
  <si>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</si>
  <si>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</si>
  <si>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</si>
  <si>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</si>
  <si>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</si>
  <si>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</si>
  <si>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</si>
  <si>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</si>
  <si>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</si>
  <si>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</si>
  <si>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</si>
  <si>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</si>
  <si>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</si>
  <si>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</si>
  <si>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</si>
  <si>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</si>
  <si>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</si>
  <si>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</si>
  <si>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</si>
  <si>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</si>
  <si>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</si>
  <si>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</si>
  <si>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</si>
  <si>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</si>
  <si>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</si>
  <si>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</si>
  <si>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</si>
  <si>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</si>
  <si>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</si>
  <si>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</si>
  <si>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</si>
  <si>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</si>
  <si>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</si>
  <si>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</si>
  <si>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</si>
  <si>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</si>
  <si>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</si>
  <si>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</si>
  <si>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</si>
  <si>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</si>
  <si>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</si>
  <si>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</si>
  <si>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</si>
  <si>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</si>
  <si>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</si>
  <si>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</si>
  <si>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</si>
  <si>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</si>
  <si>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</si>
  <si>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</si>
  <si>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</si>
  <si>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</si>
  <si>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</si>
  <si>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</si>
  <si>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</si>
  <si>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</si>
  <si>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</si>
  <si>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</si>
  <si>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</si>
  <si>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</si>
  <si>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</si>
  <si>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</si>
  <si>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</si>
  <si>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</si>
  <si>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</si>
  <si>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</si>
  <si>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</si>
  <si>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</si>
  <si>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</si>
  <si>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</si>
  <si>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</si>
  <si>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</si>
  <si>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</si>
  <si>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</si>
  <si>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</si>
  <si>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</si>
  <si>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</si>
  <si>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</si>
  <si>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</si>
  <si>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</si>
  <si>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</si>
  <si>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</si>
  <si>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</si>
  <si>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</si>
  <si>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</si>
  <si>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</si>
  <si>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</si>
  <si>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</si>
  <si>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</si>
  <si>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</si>
  <si>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</si>
  <si>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</si>
  <si>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</si>
  <si>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</si>
  <si>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</si>
  <si>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</si>
  <si>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</si>
  <si>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</si>
  <si>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</si>
  <si>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</si>
  <si>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</si>
  <si>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</si>
  <si>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</si>
  <si>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</si>
  <si>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</si>
  <si>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</si>
  <si>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</si>
  <si>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</si>
  <si>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</si>
  <si>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</si>
  <si>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</si>
  <si>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</si>
  <si>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</si>
  <si>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</si>
  <si>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</si>
  <si>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</si>
  <si>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</si>
  <si>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</si>
  <si>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</si>
  <si>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</si>
  <si>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</si>
  <si>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</si>
  <si>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</si>
  <si>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</si>
  <si>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</si>
  <si>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</si>
  <si>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</si>
  <si>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</si>
  <si>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</si>
  <si>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</si>
  <si>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</si>
  <si>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</si>
  <si>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</si>
  <si>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</si>
  <si>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</si>
  <si>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</si>
  <si>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</si>
  <si>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</si>
  <si>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</si>
  <si>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</si>
  <si>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</si>
  <si>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</si>
  <si>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</si>
  <si>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</si>
  <si>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</si>
  <si>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</si>
  <si>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</si>
  <si>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</si>
  <si>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</si>
  <si>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</si>
  <si>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</si>
  <si>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</si>
  <si>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</si>
  <si>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</si>
  <si>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</si>
  <si>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</si>
  <si>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</si>
  <si>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</si>
  <si>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</si>
  <si>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</si>
  <si>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</si>
  <si>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</si>
  <si>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</si>
  <si>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</si>
  <si>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</si>
  <si>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</si>
  <si>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</si>
  <si>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</si>
  <si>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</si>
  <si>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</si>
  <si>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</si>
  <si>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</si>
  <si>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</si>
  <si>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</si>
  <si>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</si>
  <si>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</si>
  <si>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</si>
  <si>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</si>
  <si>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</si>
  <si>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</si>
  <si>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</si>
  <si>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</si>
  <si>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</si>
  <si>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</si>
  <si>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</si>
  <si>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</si>
  <si>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</si>
  <si>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</si>
  <si>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</si>
  <si>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</si>
  <si>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</si>
  <si>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</si>
  <si>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</si>
  <si>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</si>
  <si>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</si>
  <si>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</si>
  <si>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</si>
  <si>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</si>
  <si>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</si>
  <si>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</si>
  <si>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</si>
  <si>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</si>
  <si>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</si>
  <si>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</si>
  <si>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</si>
  <si>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</si>
  <si>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</si>
  <si>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</si>
  <si>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</si>
  <si>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</si>
  <si>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</si>
  <si>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</si>
  <si>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</si>
  <si>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</si>
  <si>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</si>
  <si>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</si>
  <si>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</si>
  <si>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</si>
  <si>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</si>
  <si>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</si>
  <si>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</si>
  <si>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</si>
  <si>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</si>
  <si>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</si>
  <si>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</si>
  <si>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</si>
  <si>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</si>
  <si>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</si>
  <si>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</si>
  <si>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</si>
  <si>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</si>
  <si>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</si>
  <si>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</si>
  <si>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</si>
  <si>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</si>
  <si>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</si>
  <si>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</si>
  <si>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</si>
  <si>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</si>
  <si>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</si>
  <si>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</si>
  <si>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</si>
  <si>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</si>
  <si>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</si>
  <si>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</si>
  <si>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</si>
  <si>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</si>
  <si>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</si>
  <si>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</si>
  <si>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</si>
  <si>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</si>
  <si>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</si>
  <si>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</si>
  <si>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</si>
  <si>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</si>
  <si>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</si>
  <si>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</si>
  <si>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</si>
  <si>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</si>
  <si>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</si>
  <si>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</si>
  <si>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</si>
  <si>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</si>
  <si>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</si>
  <si>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</si>
  <si>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</si>
  <si>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</si>
  <si>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</si>
  <si>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</si>
  <si>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</si>
  <si>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</si>
  <si>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</si>
  <si>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</si>
  <si>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</si>
  <si>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</si>
  <si>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</si>
  <si>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</si>
  <si>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</si>
  <si>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</si>
  <si>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</si>
  <si>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</si>
  <si>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</si>
  <si>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</si>
  <si>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</si>
  <si>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</si>
  <si>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</si>
  <si>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</si>
  <si>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</si>
  <si>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</si>
  <si>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</si>
  <si>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</si>
  <si>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</si>
  <si>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</si>
  <si>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</si>
  <si>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</si>
  <si>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</si>
  <si>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</si>
  <si>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</si>
  <si>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</si>
  <si>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</si>
  <si>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</si>
  <si>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</si>
  <si>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</si>
  <si>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</si>
  <si>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</si>
  <si>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</si>
  <si>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</si>
  <si>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</si>
  <si>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</si>
  <si>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</si>
  <si>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</si>
  <si>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</si>
  <si>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</si>
  <si>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</si>
  <si>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</si>
  <si>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</si>
  <si>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</si>
  <si>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</si>
  <si>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</si>
  <si>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</si>
  <si>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</si>
  <si>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</si>
  <si>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</si>
  <si>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</si>
  <si>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</si>
  <si>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</si>
  <si>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</si>
  <si>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</si>
  <si>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</si>
  <si>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</si>
  <si>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</si>
  <si>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</si>
  <si>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</si>
  <si>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</si>
  <si>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</si>
  <si>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</si>
  <si>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</si>
  <si>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</si>
  <si>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</si>
  <si>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</si>
  <si>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</si>
  <si>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</si>
  <si>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</si>
  <si>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</si>
  <si>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</si>
  <si>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</si>
  <si>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</si>
  <si>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</si>
  <si>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</si>
  <si>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</si>
  <si>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</si>
  <si>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</si>
  <si>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</si>
  <si>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</si>
  <si>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</si>
  <si>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</si>
  <si>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</si>
  <si>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</si>
  <si>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</si>
  <si>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</si>
  <si>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</si>
  <si>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</si>
  <si>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</si>
  <si>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</si>
  <si>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</si>
  <si>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</si>
  <si>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</si>
  <si>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</si>
  <si>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</si>
  <si>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</si>
  <si>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</si>
  <si>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</si>
  <si>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</si>
  <si>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</si>
  <si>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</si>
  <si>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</si>
  <si>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</si>
  <si>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</si>
  <si>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</si>
  <si>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</si>
  <si>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</si>
  <si>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</si>
  <si>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</si>
  <si>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</si>
  <si>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</si>
  <si>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</si>
  <si>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</si>
  <si>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</si>
  <si>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</si>
  <si>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</si>
  <si>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</si>
  <si>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</si>
  <si>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</si>
  <si>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</si>
  <si>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</si>
  <si>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</si>
  <si>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</si>
  <si>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</si>
  <si>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</si>
  <si>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</si>
  <si>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</si>
  <si>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</si>
  <si>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</si>
  <si>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</si>
  <si>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</si>
  <si>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</si>
  <si>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</si>
  <si>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</si>
  <si>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</si>
  <si>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</si>
  <si>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</si>
  <si>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</si>
  <si>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</si>
  <si>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</si>
  <si>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</si>
  <si>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</si>
  <si>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</si>
  <si>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</si>
  <si>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</si>
  <si>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</si>
  <si>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</si>
  <si>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</si>
  <si>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</si>
  <si>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</si>
  <si>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</si>
  <si>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</si>
  <si>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</si>
  <si>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</si>
  <si>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</si>
  <si>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</si>
  <si>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</si>
  <si>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</si>
  <si>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</si>
  <si>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</si>
  <si>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</si>
  <si>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</si>
  <si>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</si>
  <si>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</si>
  <si>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</si>
  <si>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</si>
  <si>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</si>
  <si>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</si>
  <si>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</si>
  <si>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</si>
  <si>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</si>
  <si>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</si>
  <si>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</si>
  <si>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</si>
  <si>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</si>
  <si>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</si>
  <si>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</si>
  <si>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</si>
  <si>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</si>
  <si>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</si>
  <si>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</si>
  <si>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</si>
  <si>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</si>
  <si>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</si>
  <si>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</si>
  <si>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</si>
  <si>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</si>
  <si>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</si>
  <si>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</si>
  <si>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</si>
  <si>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</si>
  <si>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</si>
  <si>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</si>
  <si>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</si>
  <si>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</si>
  <si>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</si>
  <si>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</si>
  <si>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</si>
  <si>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</si>
  <si>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</si>
  <si>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</si>
  <si>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</si>
  <si>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</si>
  <si>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</si>
  <si>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</si>
  <si>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</si>
  <si>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</si>
  <si>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</si>
  <si>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</si>
  <si>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</si>
  <si>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</si>
  <si>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</si>
  <si>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</si>
  <si>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</si>
  <si>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</si>
  <si>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</si>
  <si>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</si>
  <si>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</si>
  <si>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</si>
  <si>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</si>
  <si>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</si>
  <si>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</si>
  <si>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</si>
  <si>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</si>
  <si>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</si>
  <si>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</si>
  <si>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</si>
  <si>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</si>
  <si>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</si>
  <si>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</si>
  <si>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</si>
  <si>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</si>
  <si>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</si>
  <si>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</si>
  <si>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</si>
  <si>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</si>
  <si>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</si>
  <si>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</si>
  <si>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</si>
  <si>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</si>
  <si>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</si>
  <si>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</si>
  <si>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</si>
  <si>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</si>
  <si>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</si>
  <si>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</si>
  <si>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</si>
  <si>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</si>
  <si>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</si>
  <si>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</si>
  <si>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</si>
  <si>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</si>
  <si>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</si>
  <si>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</si>
  <si>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</si>
  <si>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</si>
  <si>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</si>
  <si>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</si>
  <si>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</si>
  <si>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</si>
  <si>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</si>
  <si>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</si>
  <si>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</si>
  <si>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</si>
  <si>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</si>
  <si>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</si>
  <si>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</si>
  <si>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</si>
  <si>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</si>
  <si>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</si>
  <si>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</si>
  <si>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</si>
  <si>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</si>
  <si>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</si>
  <si>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</si>
  <si>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</si>
  <si>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</si>
  <si>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</si>
  <si>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</si>
  <si>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</si>
  <si>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</si>
  <si>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</si>
  <si>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</si>
  <si>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</si>
  <si>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</si>
  <si>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</si>
  <si>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</si>
  <si>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</si>
  <si>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</si>
  <si>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</si>
  <si>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</si>
  <si>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</si>
  <si>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</si>
  <si>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</si>
  <si>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</si>
  <si>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</si>
  <si>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</si>
  <si>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</si>
  <si>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</si>
  <si>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</si>
  <si>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</si>
  <si>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</si>
  <si>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</si>
  <si>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</si>
  <si>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</si>
  <si>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</si>
  <si>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</si>
  <si>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</si>
  <si>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</si>
  <si>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</si>
  <si>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</si>
  <si>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</si>
  <si>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</si>
  <si>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</si>
  <si>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</si>
  <si>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</si>
  <si>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</si>
  <si>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</si>
  <si>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</si>
  <si>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</si>
  <si>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</si>
  <si>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</si>
  <si>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</si>
  <si>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</si>
  <si>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</si>
  <si>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</si>
  <si>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</si>
  <si>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</si>
  <si>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</si>
  <si>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</si>
  <si>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</si>
  <si>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</si>
  <si>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</si>
  <si>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</si>
  <si>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</si>
  <si>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</si>
  <si>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</si>
  <si>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</si>
  <si>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</si>
  <si>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</si>
  <si>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</si>
  <si>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</si>
  <si>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</si>
  <si>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</si>
  <si>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</si>
  <si>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</si>
  <si>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</si>
  <si>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</si>
  <si>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</si>
  <si>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</si>
  <si>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</si>
  <si>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</si>
  <si>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</si>
  <si>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</si>
  <si>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</si>
  <si>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</si>
  <si>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</si>
  <si>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</si>
  <si>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</si>
  <si>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</si>
  <si>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</si>
  <si>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</si>
  <si>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</si>
  <si>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</si>
  <si>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</si>
  <si>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</si>
  <si>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</si>
  <si>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</si>
  <si>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</si>
  <si>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</si>
  <si>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</si>
  <si>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</si>
  <si>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</si>
  <si>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</si>
  <si>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</si>
  <si>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</si>
  <si>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</si>
  <si>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</si>
  <si>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</si>
  <si>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</si>
  <si>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</si>
  <si>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</si>
  <si>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</si>
  <si>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</si>
  <si>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</si>
  <si>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</si>
  <si>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</si>
  <si>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</si>
  <si>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</si>
  <si>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</si>
  <si>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</si>
  <si>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</si>
  <si>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</si>
  <si>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</si>
  <si>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</si>
  <si>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</si>
  <si>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</si>
  <si>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</si>
  <si>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</si>
  <si>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</si>
  <si>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</si>
  <si>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</si>
  <si>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</si>
  <si>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</si>
  <si>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</si>
  <si>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</si>
  <si>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</si>
  <si>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</si>
  <si>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</si>
  <si>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</si>
  <si>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</si>
  <si>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</si>
  <si>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</si>
  <si>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</si>
  <si>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</si>
  <si>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</si>
  <si>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</si>
  <si>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</si>
  <si>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</si>
  <si>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</si>
  <si>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</si>
  <si>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</si>
  <si>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</si>
  <si>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</si>
  <si>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</si>
  <si>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</si>
  <si>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</si>
  <si>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</si>
  <si>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</si>
  <si>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</si>
  <si>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</si>
  <si>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</si>
  <si>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</si>
  <si>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</si>
  <si>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</si>
  <si>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</si>
  <si>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</si>
  <si>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</si>
  <si>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</si>
  <si>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</si>
  <si>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</si>
  <si>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</si>
  <si>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</si>
  <si>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</si>
  <si>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</si>
  <si>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</si>
  <si>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</si>
  <si>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</si>
  <si>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</si>
  <si>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</si>
  <si>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</si>
  <si>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</si>
  <si>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</si>
  <si>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</si>
  <si>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</si>
  <si>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</si>
  <si>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</si>
  <si>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</si>
  <si>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</si>
  <si>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</si>
  <si>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</si>
  <si>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</si>
  <si>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</si>
  <si>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</si>
  <si>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</si>
  <si>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</si>
  <si>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</si>
  <si>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</si>
  <si>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</si>
  <si>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</si>
  <si>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</si>
  <si>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</si>
  <si>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</si>
  <si>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</si>
  <si>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</si>
  <si>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</si>
  <si>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</si>
  <si>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</si>
  <si>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</si>
  <si>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</si>
  <si>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</si>
  <si>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</si>
  <si>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</si>
  <si>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</si>
  <si>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</si>
  <si>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</si>
  <si>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</si>
  <si>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</si>
  <si>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</si>
  <si>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</si>
  <si>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</si>
  <si>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</si>
  <si>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</si>
  <si>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</si>
  <si>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</si>
  <si>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</si>
  <si>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</si>
  <si>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</si>
  <si>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</si>
  <si>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</si>
  <si>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</si>
  <si>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</si>
  <si>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</si>
  <si>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</si>
  <si>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</si>
  <si>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</si>
  <si>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</si>
  <si>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</si>
  <si>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</si>
  <si>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</si>
  <si>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</si>
  <si>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</si>
  <si>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</si>
  <si>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</si>
  <si>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</si>
  <si>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</si>
  <si>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</si>
  <si>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</si>
  <si>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</si>
  <si>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</si>
  <si>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</si>
  <si>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</si>
  <si>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</si>
  <si>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</si>
  <si>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</si>
  <si>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</si>
  <si>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</si>
  <si>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</si>
  <si>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</si>
  <si>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</si>
  <si>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</si>
  <si>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</si>
  <si>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</si>
  <si>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</si>
  <si>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</si>
  <si>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</si>
  <si>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</si>
  <si>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</si>
  <si>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</si>
  <si>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</si>
  <si>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</si>
  <si>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</si>
  <si>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</si>
  <si>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</si>
  <si>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</si>
  <si>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</si>
  <si>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</si>
  <si>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</si>
  <si>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</si>
  <si>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</si>
  <si>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</si>
  <si>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</si>
  <si>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</si>
  <si>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</si>
  <si>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</si>
  <si>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</si>
  <si>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</si>
  <si>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</si>
  <si>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</si>
  <si>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</si>
  <si>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</si>
  <si>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</si>
  <si>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</si>
  <si>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</si>
  <si>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</si>
  <si>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</si>
  <si>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</si>
  <si>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</si>
  <si>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</si>
  <si>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</si>
  <si>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</si>
  <si>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</si>
  <si>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</si>
  <si>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</si>
  <si>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</si>
  <si>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</si>
  <si>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</si>
  <si>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</si>
  <si>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</si>
  <si>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</si>
  <si>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</si>
  <si>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</si>
  <si>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</si>
  <si>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</si>
  <si>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</si>
  <si>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</si>
  <si>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</si>
  <si>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</si>
  <si>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</si>
  <si>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</si>
  <si>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</si>
  <si>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</si>
  <si>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</si>
  <si>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</si>
  <si>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</si>
  <si>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</si>
  <si>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</si>
  <si>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</si>
  <si>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</si>
  <si>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</si>
  <si>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</si>
  <si>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</si>
  <si>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</si>
  <si>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</si>
  <si>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</si>
  <si>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</si>
  <si>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</si>
  <si>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</si>
  <si>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</si>
  <si>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</si>
  <si>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</si>
  <si>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</si>
  <si>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</si>
  <si>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</si>
  <si>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</si>
  <si>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</si>
  <si>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</si>
  <si>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</si>
  <si>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</si>
  <si>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</si>
  <si>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</si>
  <si>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</si>
  <si>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</si>
  <si>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</si>
  <si>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</si>
  <si>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</si>
  <si>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</si>
  <si>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</si>
  <si>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</si>
  <si>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</si>
  <si>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</si>
  <si>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</si>
  <si>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</si>
  <si>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</si>
  <si>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</si>
  <si>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</si>
  <si>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</si>
  <si>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</si>
  <si>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</si>
  <si>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</si>
  <si>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</si>
  <si>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</si>
  <si>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</si>
  <si>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</si>
  <si>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</si>
  <si>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</si>
  <si>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</si>
  <si>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</si>
  <si>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</si>
  <si>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</si>
  <si>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</si>
  <si>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</si>
  <si>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</si>
  <si>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</si>
  <si>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</si>
  <si>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</si>
  <si>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</si>
  <si>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</si>
  <si>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</si>
  <si>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</si>
  <si>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</si>
  <si>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</si>
  <si>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</si>
  <si>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</si>
  <si>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</si>
  <si>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</si>
  <si>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</si>
  <si>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</si>
  <si>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</si>
  <si>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</si>
  <si>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</si>
  <si>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</si>
  <si>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</si>
  <si>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</si>
  <si>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</si>
  <si>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</si>
  <si>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</si>
  <si>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</si>
  <si>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</si>
  <si>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</si>
  <si>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</si>
  <si>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</si>
  <si>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</si>
  <si>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</si>
  <si>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</si>
  <si>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</si>
  <si>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</si>
  <si>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</si>
  <si>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</si>
  <si>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</si>
  <si>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</si>
  <si>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</si>
  <si>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</si>
  <si>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</si>
  <si>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</si>
  <si>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</si>
  <si>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</si>
  <si>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</si>
  <si>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</si>
  <si>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</si>
  <si>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</si>
  <si>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</si>
  <si>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</si>
  <si>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</si>
  <si>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</si>
  <si>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</si>
  <si>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</si>
  <si>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</si>
  <si>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</si>
  <si>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</si>
  <si>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</si>
  <si>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</si>
  <si>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</si>
  <si>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</si>
  <si>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</si>
  <si>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</si>
  <si>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</si>
  <si>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</si>
  <si>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</si>
  <si>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</si>
  <si>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</si>
  <si>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</si>
  <si>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</si>
  <si>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</si>
  <si>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</si>
  <si>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</si>
  <si>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</si>
  <si>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</si>
  <si>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</si>
  <si>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</si>
  <si>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</si>
  <si>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</si>
  <si>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</si>
  <si>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</si>
  <si>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</si>
  <si>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</si>
  <si>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</si>
  <si>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</si>
  <si>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</si>
  <si>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</si>
  <si>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</si>
  <si>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</si>
  <si>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</si>
  <si>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</si>
  <si>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</si>
  <si>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</si>
  <si>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</si>
  <si>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</si>
  <si>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</si>
  <si>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</si>
  <si>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</si>
  <si>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</si>
  <si>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</si>
  <si>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</si>
  <si>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</si>
  <si>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</si>
  <si>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</si>
  <si>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</si>
  <si>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</si>
  <si>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</si>
  <si>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</si>
  <si>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</si>
  <si>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</si>
  <si>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</si>
  <si>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</si>
  <si>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</si>
  <si>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</si>
  <si>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</si>
  <si>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</si>
  <si>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</si>
  <si>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</si>
  <si>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</si>
  <si>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</si>
  <si>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</si>
  <si>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</si>
  <si>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</si>
  <si>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</si>
  <si>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</si>
  <si>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</si>
  <si>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</si>
  <si>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</si>
  <si>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</si>
  <si>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</si>
  <si>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</si>
  <si>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</si>
  <si>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</si>
  <si>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</si>
  <si>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</si>
  <si>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</si>
  <si>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</si>
  <si>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</si>
  <si>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</si>
  <si>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</si>
  <si>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</si>
  <si>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</si>
  <si>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</si>
  <si>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</si>
  <si>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</si>
  <si>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</si>
  <si>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</si>
  <si>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</si>
  <si>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</si>
  <si>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</si>
  <si>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</si>
  <si>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</si>
  <si>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</si>
  <si>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</si>
  <si>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</si>
  <si>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</si>
  <si>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</si>
  <si>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</si>
  <si>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</si>
  <si>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</si>
  <si>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</si>
  <si>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</si>
  <si>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</si>
  <si>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</si>
  <si>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</si>
  <si>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</si>
  <si>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</si>
  <si>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</si>
  <si>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</si>
  <si>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</si>
  <si>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</si>
  <si>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</si>
  <si>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</si>
  <si>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</si>
  <si>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</si>
  <si>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</si>
  <si>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</si>
  <si>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</si>
  <si>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</si>
  <si>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</si>
  <si>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</si>
  <si>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</si>
  <si>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</si>
  <si>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</si>
  <si>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</si>
  <si>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</si>
  <si>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</si>
  <si>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</si>
  <si>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</si>
  <si>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</si>
  <si>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</si>
  <si>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</si>
  <si>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</si>
  <si>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</si>
  <si>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</si>
  <si>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</si>
  <si>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</si>
  <si>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</si>
  <si>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</si>
  <si>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</si>
  <si>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</si>
  <si>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</si>
  <si>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</si>
  <si>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</si>
  <si>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</si>
  <si>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</si>
  <si>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</si>
  <si>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</si>
  <si>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</si>
  <si>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</si>
  <si>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</si>
  <si>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</si>
  <si>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</si>
  <si>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</si>
  <si>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</si>
  <si>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</si>
  <si>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</si>
  <si>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</si>
  <si>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</si>
  <si>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</si>
  <si>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</si>
  <si>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</si>
  <si>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</si>
  <si>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</si>
  <si>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</si>
  <si>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</si>
  <si>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</si>
  <si>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</si>
  <si>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</si>
  <si>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</si>
  <si>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</si>
  <si>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</si>
  <si>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</si>
  <si>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</si>
  <si>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</si>
  <si>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</si>
  <si>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</si>
  <si>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</si>
  <si>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</si>
  <si>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</si>
  <si>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</si>
  <si>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</si>
  <si>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</si>
  <si>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</si>
  <si>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</si>
  <si>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</si>
  <si>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</si>
  <si>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</si>
  <si>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</si>
  <si>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</si>
  <si>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</si>
  <si>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</si>
  <si>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</si>
  <si>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</si>
  <si>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</si>
  <si>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</si>
  <si>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</si>
  <si>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</si>
  <si>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</si>
  <si>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</si>
  <si>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</si>
  <si>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</si>
  <si>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</si>
  <si>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</si>
  <si>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</si>
  <si>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</si>
  <si>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</si>
  <si>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</si>
  <si>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</si>
  <si>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</si>
  <si>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</si>
  <si>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</si>
  <si>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</si>
  <si>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</si>
  <si>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</si>
  <si>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</si>
  <si>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</si>
  <si>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</si>
  <si>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</si>
  <si>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</si>
  <si>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</si>
  <si>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</si>
  <si>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</si>
  <si>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</si>
  <si>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</si>
  <si>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</si>
  <si>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</si>
  <si>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</si>
  <si>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</si>
  <si>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</si>
  <si>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</si>
  <si>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</si>
  <si>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</si>
  <si>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</si>
  <si>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</si>
  <si>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</si>
  <si>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</si>
  <si>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</si>
  <si>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</si>
  <si>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</si>
  <si>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</si>
  <si>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</si>
  <si>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</si>
  <si>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</si>
  <si>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</si>
  <si>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</si>
  <si>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</si>
  <si>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</si>
  <si>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</si>
  <si>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</si>
  <si>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</si>
  <si>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</si>
  <si>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</si>
  <si>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</si>
  <si>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</si>
  <si>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</si>
  <si>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</si>
  <si>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</si>
  <si>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</si>
  <si>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</si>
  <si>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</si>
  <si>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</si>
  <si>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</si>
  <si>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</si>
  <si>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</si>
  <si>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</si>
  <si>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</si>
  <si>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</si>
  <si>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</si>
  <si>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</si>
  <si>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</si>
  <si>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</si>
  <si>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</si>
  <si>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</si>
  <si>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</si>
  <si>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</si>
  <si>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</si>
  <si>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</si>
  <si>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</si>
  <si>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</si>
  <si>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</si>
  <si>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</si>
  <si>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</si>
  <si>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</si>
  <si>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</si>
  <si>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</si>
  <si>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</si>
  <si>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</si>
  <si>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</si>
  <si>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</si>
  <si>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</si>
  <si>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</si>
  <si>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</si>
  <si>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</si>
  <si>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</si>
  <si>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</si>
  <si>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</si>
  <si>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</si>
  <si>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</si>
  <si>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</si>
  <si>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</si>
  <si>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</si>
  <si>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</si>
  <si>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</si>
  <si>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</si>
  <si>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</si>
  <si>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</si>
  <si>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</si>
  <si>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</si>
  <si>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</si>
  <si>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</si>
  <si>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</si>
  <si>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</si>
  <si>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</si>
  <si>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</si>
  <si>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</si>
  <si>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</si>
  <si>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</si>
  <si>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</si>
  <si>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</si>
  <si>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</si>
  <si>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</si>
  <si>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</si>
  <si>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</si>
  <si>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</si>
  <si>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</si>
  <si>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</si>
  <si>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</si>
  <si>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</si>
  <si>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</si>
  <si>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</si>
  <si>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</si>
  <si>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</si>
  <si>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</si>
  <si>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</si>
  <si>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</si>
  <si>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</si>
  <si>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</si>
  <si>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</si>
  <si>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</si>
  <si>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</si>
  <si>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</si>
  <si>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</si>
  <si>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</si>
  <si>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</si>
  <si>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</si>
  <si>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</si>
  <si>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</si>
  <si>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</si>
  <si>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</si>
  <si>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</si>
  <si>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</si>
  <si>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</si>
  <si>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</si>
  <si>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</si>
  <si>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</si>
  <si>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</si>
  <si>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</si>
  <si>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</si>
  <si>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</si>
  <si>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</si>
  <si>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</si>
  <si>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</si>
  <si>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</si>
  <si>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</si>
  <si>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</si>
  <si>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</si>
  <si>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</si>
  <si>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</si>
  <si>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</si>
  <si>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</si>
  <si>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</si>
  <si>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</si>
  <si>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</si>
  <si>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</si>
  <si>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</si>
  <si>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</si>
  <si>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</si>
  <si>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</si>
  <si>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</si>
  <si>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</si>
  <si>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</si>
  <si>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</si>
  <si>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</si>
  <si>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</si>
  <si>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</si>
  <si>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</si>
  <si>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</si>
  <si>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</si>
  <si>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</si>
  <si>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</si>
  <si>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</si>
  <si>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</si>
  <si>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</si>
  <si>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</si>
  <si>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</si>
  <si>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</si>
  <si>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</si>
  <si>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</si>
  <si>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</si>
  <si>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</si>
  <si>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</si>
  <si>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</si>
  <si>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</si>
  <si>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</si>
  <si>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</si>
  <si>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</si>
  <si>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</si>
  <si>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</si>
  <si>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</si>
  <si>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</si>
  <si>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</si>
  <si>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</si>
  <si>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</si>
  <si>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</si>
  <si>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</si>
  <si>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</si>
  <si>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</si>
  <si>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</si>
  <si>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</si>
  <si>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</si>
  <si>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t>
  </si>
  <si>
    <t>08/03</t>
  </si>
  <si>
    <t>08/15/23</t>
  </si>
  <si>
    <t>02/20</t>
  </si>
  <si>
    <t>02/15/40</t>
  </si>
  <si>
    <t>Exeter Regional Coop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</si>
</sst>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0" fillId="0" borderId="3" xfId="0" applyNumberFormat="1" applyBorder="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1677</v>
      </c>
      <c r="B2" s="21">
        <v>172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635575.84</v>
      </c>
      <c r="G9" s="18">
        <v>0.01</v>
      </c>
      <c r="H9" s="18">
        <v>413178.63</v>
      </c>
      <c r="I9" s="18">
        <v>4317872.6100000003</v>
      </c>
      <c r="J9" s="67">
        <f>SUM(I440)</f>
        <v>1972895.96</v>
      </c>
      <c r="K9" s="24" t="s">
        <v>288</v>
      </c>
      <c r="L9" s="24" t="s">
        <v>288</v>
      </c>
      <c r="M9" s="8"/>
      <c r="N9" s="264"/>
    </row>
    <row r="10" spans="1:14" s="3" customFormat="1" ht="12.2" customHeight="1" x14ac:dyDescent="0.15">
      <c r="A10" s="1" t="s">
        <v>562</v>
      </c>
      <c r="B10" s="2" t="s">
        <v>289</v>
      </c>
      <c r="C10" s="6">
        <v>2</v>
      </c>
      <c r="D10" s="2" t="s">
        <v>428</v>
      </c>
      <c r="E10" s="6">
        <v>110</v>
      </c>
      <c r="F10" s="18">
        <v>6266615.6100000003</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150543.16</v>
      </c>
      <c r="G12" s="18">
        <v>41030.620000000003</v>
      </c>
      <c r="H12" s="18">
        <v>142757.29</v>
      </c>
      <c r="I12" s="18" t="s">
        <v>1672</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99913.16</v>
      </c>
      <c r="G13" s="18">
        <v>270442.25</v>
      </c>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374722.68</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120000</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7647370.4500000002</v>
      </c>
      <c r="G19" s="41">
        <f>SUM(G9:G18)</f>
        <v>311472.88</v>
      </c>
      <c r="H19" s="41">
        <f>SUM(H9:H18)</f>
        <v>555935.92000000004</v>
      </c>
      <c r="I19" s="41">
        <f>SUM(I9:I18)</f>
        <v>4317872.6100000003</v>
      </c>
      <c r="J19" s="41">
        <f>SUM(J9:J18)</f>
        <v>1972895.96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183787.91</v>
      </c>
      <c r="G22" s="18"/>
      <c r="H22" s="18">
        <v>10</v>
      </c>
      <c r="I22" s="18">
        <v>150523.16</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1051762.26</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27383.89</v>
      </c>
      <c r="G24" s="18">
        <v>1202.94</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296485.09000000003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42902.879999999997</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81012.17</v>
      </c>
      <c r="G31" s="18">
        <v>0.01</v>
      </c>
      <c r="H31" s="18">
        <v>1820.79</v>
      </c>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1640431.3199999998</v>
      </c>
      <c r="G32" s="41">
        <f>SUM(G22:G31)</f>
        <v>44105.83</v>
      </c>
      <c r="H32" s="41">
        <f>SUM(H22:H31)</f>
        <v>1830.79</v>
      </c>
      <c r="I32" s="41">
        <f>SUM(I22:I31)</f>
        <v>150523.16</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267367.05</v>
      </c>
      <c r="H48" s="18">
        <v>554105.13</v>
      </c>
      <c r="I48" s="18">
        <v>4167349.45</v>
      </c>
      <c r="J48" s="13">
        <f>SUM(I460)</f>
        <v>1972895.96</v>
      </c>
      <c r="K48" s="24" t="s">
        <v>288</v>
      </c>
      <c r="L48" s="24" t="s">
        <v>288</v>
      </c>
      <c r="M48" s="8"/>
      <c r="N48" s="264"/>
    </row>
    <row r="49" spans="1:14" s="3" customFormat="1" ht="12.2" customHeight="1" x14ac:dyDescent="0.15">
      <c r="A49" s="1" t="s">
        <v>859</v>
      </c>
      <c r="B49" s="2" t="s">
        <v>289</v>
      </c>
      <c r="C49" s="6">
        <v>34</v>
      </c>
      <c r="D49" s="2"/>
      <c r="E49" s="6">
        <v>753</v>
      </c>
      <c r="F49" s="18">
        <v>792573.05</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5214366.08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6006939.1299999999</v>
      </c>
      <c r="G51" s="41">
        <f>SUM(G35:G50)</f>
        <v>267367.05</v>
      </c>
      <c r="H51" s="41">
        <f>SUM(H35:H50)</f>
        <v>554105.13</v>
      </c>
      <c r="I51" s="41">
        <f>SUM(I35:I50)</f>
        <v>4167349.45</v>
      </c>
      <c r="J51" s="41">
        <f>SUM(J35:J50)</f>
        <v>1972895.96</v>
      </c>
      <c r="K51" s="45" t="s">
        <v>288</v>
      </c>
      <c r="L51" s="45" t="s">
        <v>288</v>
      </c>
      <c r="N51" s="262"/>
    </row>
    <row r="52" spans="1:14" s="3" customFormat="1" ht="12.2" customHeight="1" thickTop="1" x14ac:dyDescent="0.15">
      <c r="A52" s="38" t="s">
        <v>455</v>
      </c>
      <c r="B52" s="39" t="s">
        <v>289</v>
      </c>
      <c r="C52" s="6">
        <v>37</v>
      </c>
      <c r="D52" s="39" t="s">
        <v>653</v>
      </c>
      <c r="E52" s="39"/>
      <c r="F52" s="41">
        <f>F51+F32</f>
        <v>7647370.4499999993</v>
      </c>
      <c r="G52" s="41">
        <f>G51+G32</f>
        <v>311472.88</v>
      </c>
      <c r="H52" s="41">
        <f>H51+H32</f>
        <v>555935.92000000004</v>
      </c>
      <c r="I52" s="41">
        <f>I51+I32</f>
        <v>4317872.6100000003</v>
      </c>
      <c r="J52" s="41">
        <f>J51+J32</f>
        <v>1972895.96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44950304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44950304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35460.74</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1045363.94</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1080824.68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14857.94</v>
      </c>
      <c r="G96" s="18"/>
      <c r="H96" s="18"/>
      <c r="I96" s="18">
        <v>20733.78</v>
      </c>
      <c r="J96" s="18">
        <v>3643.73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104.5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348521.17</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v>34361.160000000003</v>
      </c>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77437.72</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v>1845.32</v>
      </c>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144470.29</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615540.98</v>
      </c>
      <c r="G110" s="18">
        <v>10056.36</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852306.92999999993</v>
      </c>
      <c r="G111" s="41">
        <f>SUM(G96:G110)</f>
        <v>44522.020000000004</v>
      </c>
      <c r="H111" s="41">
        <f>SUM(H96:H110)</f>
        <v>348521.17</v>
      </c>
      <c r="I111" s="41">
        <f>SUM(I96:I110)</f>
        <v>20733.78</v>
      </c>
      <c r="J111" s="41">
        <f>SUM(J96:J110)</f>
        <v>5489.05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46883435.609999999</v>
      </c>
      <c r="G112" s="41">
        <f>G60+G111</f>
        <v>44522.020000000004</v>
      </c>
      <c r="H112" s="41">
        <f>H60+H79+H94+H111</f>
        <v>348521.17</v>
      </c>
      <c r="I112" s="41">
        <f>I60+I111</f>
        <v>20733.78</v>
      </c>
      <c r="J112" s="41">
        <f>J60+J111</f>
        <v>5489.05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5766568.3499999996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5840531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58492.97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11665592.32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1025645.27</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653937.09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1120762.47</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1838.99</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15350.43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2802183.8200000003</v>
      </c>
      <c r="G136" s="41">
        <f>SUM(G123:G135)</f>
        <v>15350.43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14467776.140000001</v>
      </c>
      <c r="G140" s="41">
        <f>G121+SUM(G136:G137)</f>
        <v>15350.43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47457.23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69675.45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273023.96999999997</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336024.94</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629557.07999999996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604081.99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181028.8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675227.83</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190150.95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856256.62999999989</v>
      </c>
      <c r="G163" s="41">
        <f>SUM(G150:G162)</f>
        <v>629557.07999999996</v>
      </c>
      <c r="H163" s="41">
        <f>SUM(H150:H162)</f>
        <v>1520414.53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856256.62999999989</v>
      </c>
      <c r="G170" s="41">
        <f>G147+G163+SUM(G164:G169)</f>
        <v>629557.07999999996</v>
      </c>
      <c r="H170" s="41">
        <f>H147+H163+SUM(H164:H169)</f>
        <v>1520414.53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255100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255100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255100</v>
      </c>
      <c r="G193" s="41">
        <f>G184+SUM(G189:G192)</f>
        <v>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62462568.380000003</v>
      </c>
      <c r="G194" s="47">
        <f>G112+G140+G170+G193</f>
        <v>689429.52999999991</v>
      </c>
      <c r="H194" s="47">
        <f>H112+H140+H170+H193</f>
        <v>1868935.7</v>
      </c>
      <c r="I194" s="47">
        <f>I112+I140+I170+I193</f>
        <v>20733.78</v>
      </c>
      <c r="J194" s="47">
        <f>J112+J140+J193</f>
        <v>5489.05</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4"/>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4"/>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4"/>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4"/>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4"/>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6855624.0899999999</v>
      </c>
      <c r="G216" s="18">
        <v>3071135.65</v>
      </c>
      <c r="H216" s="18">
        <v>15000</v>
      </c>
      <c r="I216" s="18">
        <v>163420.51</v>
      </c>
      <c r="J216" s="18"/>
      <c r="K216" s="18"/>
      <c r="L216" s="19">
        <f>SUM(F216:K216)</f>
        <v>10105180.25</v>
      </c>
      <c r="M216" s="8"/>
      <c r="N216" s="264"/>
    </row>
    <row r="217" spans="1:14" s="3" customFormat="1" ht="12.2" customHeight="1" x14ac:dyDescent="0.15">
      <c r="A217" s="1" t="s">
        <v>439</v>
      </c>
      <c r="B217" s="2" t="s">
        <v>346</v>
      </c>
      <c r="C217" s="2" t="s">
        <v>291</v>
      </c>
      <c r="D217" s="2" t="s">
        <v>431</v>
      </c>
      <c r="E217" s="6">
        <v>1200</v>
      </c>
      <c r="F217" s="18">
        <v>2558950.61</v>
      </c>
      <c r="G217" s="18">
        <v>1146341.21</v>
      </c>
      <c r="H217" s="18">
        <v>566857.02</v>
      </c>
      <c r="I217" s="18">
        <v>39779.879999999997</v>
      </c>
      <c r="J217" s="18">
        <v>23898.52</v>
      </c>
      <c r="K217" s="18"/>
      <c r="L217" s="19">
        <f>SUM(F217:K217)</f>
        <v>4335827.2399999993</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155098.51</v>
      </c>
      <c r="G219" s="18">
        <v>69479.97</v>
      </c>
      <c r="H219" s="18">
        <v>4000</v>
      </c>
      <c r="I219" s="18">
        <v>6724.73</v>
      </c>
      <c r="J219" s="18"/>
      <c r="K219" s="18"/>
      <c r="L219" s="19">
        <f>SUM(F219:K219)</f>
        <v>235303.21000000002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1271047.49</v>
      </c>
      <c r="G221" s="18">
        <v>569395.17000000004</v>
      </c>
      <c r="H221" s="18">
        <v>77169.7</v>
      </c>
      <c r="I221" s="18">
        <v>5692.99</v>
      </c>
      <c r="J221" s="18"/>
      <c r="K221" s="18"/>
      <c r="L221" s="19">
        <f t="shared" ref="L221:L227" si="2">SUM(F221:K221)</f>
        <v>1923305.35</v>
      </c>
      <c r="M221" s="8"/>
      <c r="N221" s="264"/>
    </row>
    <row r="222" spans="1:14" s="3" customFormat="1" ht="12.2" customHeight="1" x14ac:dyDescent="0.15">
      <c r="A222" s="1" t="s">
        <v>443</v>
      </c>
      <c r="B222" s="2" t="s">
        <v>346</v>
      </c>
      <c r="C222" s="2" t="s">
        <v>295</v>
      </c>
      <c r="D222" s="2" t="s">
        <v>431</v>
      </c>
      <c r="E222" s="6">
        <v>2200</v>
      </c>
      <c r="F222" s="18">
        <v>487244.66</v>
      </c>
      <c r="G222" s="18">
        <v>218272.53</v>
      </c>
      <c r="H222" s="18">
        <v>62140.85</v>
      </c>
      <c r="I222" s="18">
        <v>105552.95</v>
      </c>
      <c r="J222" s="18">
        <v>208950.69</v>
      </c>
      <c r="K222" s="18">
        <v>10831.99</v>
      </c>
      <c r="L222" s="19">
        <f t="shared" si="2"/>
        <v>1092993.67</v>
      </c>
      <c r="M222" s="8"/>
      <c r="N222" s="264"/>
    </row>
    <row r="223" spans="1:14" s="3" customFormat="1" ht="12.2" customHeight="1" x14ac:dyDescent="0.15">
      <c r="A223" s="1" t="s">
        <v>444</v>
      </c>
      <c r="B223" s="2" t="s">
        <v>346</v>
      </c>
      <c r="C223" s="2" t="s">
        <v>296</v>
      </c>
      <c r="D223" s="2" t="s">
        <v>431</v>
      </c>
      <c r="E223" s="6">
        <v>2300</v>
      </c>
      <c r="F223" s="18">
        <v>6250</v>
      </c>
      <c r="G223" s="18">
        <v>2799.83</v>
      </c>
      <c r="H223" s="18">
        <v>770223.45</v>
      </c>
      <c r="I223" s="18"/>
      <c r="J223" s="18"/>
      <c r="K223" s="18"/>
      <c r="L223" s="19">
        <f t="shared" si="2"/>
        <v>779273.27999999991</v>
      </c>
      <c r="M223" s="8"/>
      <c r="N223" s="264"/>
    </row>
    <row r="224" spans="1:14" s="3" customFormat="1" ht="12.2" customHeight="1" x14ac:dyDescent="0.15">
      <c r="A224" s="1" t="s">
        <v>445</v>
      </c>
      <c r="B224" s="2" t="s">
        <v>346</v>
      </c>
      <c r="C224" s="2" t="s">
        <v>297</v>
      </c>
      <c r="D224" s="2" t="s">
        <v>431</v>
      </c>
      <c r="E224" s="6">
        <v>2400</v>
      </c>
      <c r="F224" s="18">
        <v>666056.80000000005</v>
      </c>
      <c r="G224" s="18">
        <v>298375.57</v>
      </c>
      <c r="H224" s="18">
        <v>64409.29</v>
      </c>
      <c r="I224" s="18">
        <v>6183.15</v>
      </c>
      <c r="J224" s="18">
        <v>4856.4799999999996</v>
      </c>
      <c r="K224" s="18">
        <v>4390.41</v>
      </c>
      <c r="L224" s="19">
        <f t="shared" si="2"/>
        <v>1044271.7000000002</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729451.12</v>
      </c>
      <c r="G226" s="18">
        <v>326774.53000000003</v>
      </c>
      <c r="H226" s="18">
        <v>595991.51</v>
      </c>
      <c r="I226" s="18">
        <v>259122.55</v>
      </c>
      <c r="J226" s="18">
        <v>3618.22</v>
      </c>
      <c r="K226" s="18"/>
      <c r="L226" s="19">
        <f t="shared" si="2"/>
        <v>1914957.93</v>
      </c>
      <c r="M226" s="8"/>
      <c r="N226" s="264"/>
    </row>
    <row r="227" spans="1:14" s="3" customFormat="1" ht="12.2" customHeight="1" x14ac:dyDescent="0.15">
      <c r="A227" s="1" t="s">
        <v>448</v>
      </c>
      <c r="B227" s="2" t="s">
        <v>346</v>
      </c>
      <c r="C227" s="2" t="s">
        <v>300</v>
      </c>
      <c r="D227" s="2" t="s">
        <v>431</v>
      </c>
      <c r="E227" s="6">
        <v>2700</v>
      </c>
      <c r="F227" s="18">
        <v>26605.439999999999</v>
      </c>
      <c r="G227" s="18">
        <v>11918.52</v>
      </c>
      <c r="H227" s="18">
        <v>780184.56</v>
      </c>
      <c r="I227" s="18"/>
      <c r="J227" s="18"/>
      <c r="K227" s="18"/>
      <c r="L227" s="19">
        <f t="shared" si="2"/>
        <v>818708.52</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12756328.719999999</v>
      </c>
      <c r="G230" s="41">
        <f>SUM(G216:G229)</f>
        <v>5714492.9799999995</v>
      </c>
      <c r="H230" s="41">
        <f>SUM(H216:H229)</f>
        <v>2935976.3800000004</v>
      </c>
      <c r="I230" s="41">
        <f>SUM(I216:I229)</f>
        <v>586476.76</v>
      </c>
      <c r="J230" s="41">
        <f>SUM(J216:J229)</f>
        <v>241323.91</v>
      </c>
      <c r="K230" s="41">
        <f t="shared" si="3"/>
        <v>15222.4</v>
      </c>
      <c r="L230" s="41">
        <f t="shared" si="3"/>
        <v>22249821.149999999</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8108253.8600000003</v>
      </c>
      <c r="G234" s="18">
        <v>3632280.17</v>
      </c>
      <c r="H234" s="18">
        <v>36672.92</v>
      </c>
      <c r="I234" s="18">
        <v>117838.87</v>
      </c>
      <c r="J234" s="18">
        <v>13933.76</v>
      </c>
      <c r="K234" s="18"/>
      <c r="L234" s="19">
        <f>SUM(F234:K234)</f>
        <v>11908979.58</v>
      </c>
      <c r="M234" s="8"/>
      <c r="N234" s="264"/>
    </row>
    <row r="235" spans="1:14" s="3" customFormat="1" ht="12.2" customHeight="1" x14ac:dyDescent="0.15">
      <c r="A235" s="1" t="s">
        <v>439</v>
      </c>
      <c r="B235" s="2" t="s">
        <v>350</v>
      </c>
      <c r="C235" s="2" t="s">
        <v>291</v>
      </c>
      <c r="D235" s="2" t="s">
        <v>431</v>
      </c>
      <c r="E235" s="6">
        <v>1200</v>
      </c>
      <c r="F235" s="18">
        <v>2412893.67</v>
      </c>
      <c r="G235" s="18">
        <v>1080911.6200000001</v>
      </c>
      <c r="H235" s="18">
        <v>1601463.18</v>
      </c>
      <c r="I235" s="18">
        <v>39208.699999999997</v>
      </c>
      <c r="J235" s="18">
        <v>13151.25</v>
      </c>
      <c r="K235" s="18"/>
      <c r="L235" s="19">
        <f>SUM(F235:K235)</f>
        <v>5147628.42</v>
      </c>
      <c r="M235" s="8"/>
      <c r="N235" s="264"/>
    </row>
    <row r="236" spans="1:14" s="3" customFormat="1" ht="12.2" customHeight="1" x14ac:dyDescent="0.15">
      <c r="A236" s="1" t="s">
        <v>440</v>
      </c>
      <c r="B236" s="2" t="s">
        <v>350</v>
      </c>
      <c r="C236" s="2" t="s">
        <v>292</v>
      </c>
      <c r="D236" s="2" t="s">
        <v>431</v>
      </c>
      <c r="E236" s="6">
        <v>1300</v>
      </c>
      <c r="F236" s="18">
        <v>1795492.22</v>
      </c>
      <c r="G236" s="18">
        <v>804332.34</v>
      </c>
      <c r="H236" s="18">
        <v>64832.33</v>
      </c>
      <c r="I236" s="18">
        <v>84406.02</v>
      </c>
      <c r="J236" s="18">
        <v>20408.650000000001</v>
      </c>
      <c r="K236" s="18">
        <v>2279</v>
      </c>
      <c r="L236" s="19">
        <f>SUM(F236:K236)</f>
        <v>2771750.56</v>
      </c>
      <c r="M236" s="8"/>
      <c r="N236" s="264"/>
    </row>
    <row r="237" spans="1:14" s="3" customFormat="1" ht="12.2" customHeight="1" x14ac:dyDescent="0.15">
      <c r="A237" s="1" t="s">
        <v>441</v>
      </c>
      <c r="B237" s="2" t="s">
        <v>350</v>
      </c>
      <c r="C237" s="2" t="s">
        <v>293</v>
      </c>
      <c r="D237" s="2" t="s">
        <v>431</v>
      </c>
      <c r="E237" s="6">
        <v>1400</v>
      </c>
      <c r="F237" s="18">
        <v>459598.46</v>
      </c>
      <c r="G237" s="18">
        <v>205887.78</v>
      </c>
      <c r="H237" s="18">
        <v>54850.09</v>
      </c>
      <c r="I237" s="18">
        <v>48437.27</v>
      </c>
      <c r="J237" s="18">
        <v>4000</v>
      </c>
      <c r="K237" s="18">
        <v>11116.5</v>
      </c>
      <c r="L237" s="19">
        <f>SUM(F237:K237)</f>
        <v>783890.1</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1516905.95</v>
      </c>
      <c r="G239" s="18">
        <v>679533.16</v>
      </c>
      <c r="H239" s="18">
        <v>130578.28</v>
      </c>
      <c r="I239" s="18">
        <v>12464.1</v>
      </c>
      <c r="J239" s="18"/>
      <c r="K239" s="18">
        <v>807</v>
      </c>
      <c r="L239" s="19">
        <f t="shared" ref="L239:L245" si="4">SUM(F239:K239)</f>
        <v>2340288.4899999998</v>
      </c>
      <c r="M239" s="8"/>
      <c r="N239" s="264"/>
    </row>
    <row r="240" spans="1:14" s="3" customFormat="1" ht="12.2" customHeight="1" x14ac:dyDescent="0.15">
      <c r="A240" s="1" t="s">
        <v>443</v>
      </c>
      <c r="B240" s="2" t="s">
        <v>350</v>
      </c>
      <c r="C240" s="2" t="s">
        <v>295</v>
      </c>
      <c r="D240" s="2" t="s">
        <v>431</v>
      </c>
      <c r="E240" s="6">
        <v>2200</v>
      </c>
      <c r="F240" s="18">
        <v>582000.59</v>
      </c>
      <c r="G240" s="18">
        <v>260720.65</v>
      </c>
      <c r="H240" s="18">
        <v>85457.64</v>
      </c>
      <c r="I240" s="18">
        <v>114991.63</v>
      </c>
      <c r="J240" s="18">
        <v>287767.78000000003</v>
      </c>
      <c r="K240" s="18">
        <v>10831.99</v>
      </c>
      <c r="L240" s="19">
        <f t="shared" si="4"/>
        <v>1341770.28</v>
      </c>
      <c r="M240" s="8"/>
      <c r="N240" s="264"/>
    </row>
    <row r="241" spans="1:14" s="3" customFormat="1" ht="12.2" customHeight="1" x14ac:dyDescent="0.15">
      <c r="A241" s="1" t="s">
        <v>444</v>
      </c>
      <c r="B241" s="2" t="s">
        <v>350</v>
      </c>
      <c r="C241" s="2" t="s">
        <v>296</v>
      </c>
      <c r="D241" s="2" t="s">
        <v>431</v>
      </c>
      <c r="E241" s="6">
        <v>2300</v>
      </c>
      <c r="F241" s="18">
        <v>40728.36</v>
      </c>
      <c r="G241" s="18">
        <v>18245.21</v>
      </c>
      <c r="H241" s="18">
        <v>782370.93</v>
      </c>
      <c r="I241" s="18">
        <v>176.59</v>
      </c>
      <c r="J241" s="18"/>
      <c r="K241" s="18"/>
      <c r="L241" s="19">
        <f t="shared" si="4"/>
        <v>841521.09</v>
      </c>
      <c r="M241" s="8"/>
      <c r="N241" s="264"/>
    </row>
    <row r="242" spans="1:14" s="3" customFormat="1" ht="12.2" customHeight="1" x14ac:dyDescent="0.15">
      <c r="A242" s="1" t="s">
        <v>445</v>
      </c>
      <c r="B242" s="2" t="s">
        <v>350</v>
      </c>
      <c r="C242" s="2" t="s">
        <v>297</v>
      </c>
      <c r="D242" s="2" t="s">
        <v>431</v>
      </c>
      <c r="E242" s="6">
        <v>2400</v>
      </c>
      <c r="F242" s="18">
        <v>914152.37</v>
      </c>
      <c r="G242" s="18">
        <v>409515.73</v>
      </c>
      <c r="H242" s="18">
        <v>71262.38</v>
      </c>
      <c r="I242" s="18">
        <v>52410.06</v>
      </c>
      <c r="J242" s="18"/>
      <c r="K242" s="18">
        <v>7072.5</v>
      </c>
      <c r="L242" s="19">
        <f t="shared" si="4"/>
        <v>1454413.04</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1131545.3</v>
      </c>
      <c r="G244" s="18">
        <v>506901.93</v>
      </c>
      <c r="H244" s="18">
        <v>1857237.21</v>
      </c>
      <c r="I244" s="18">
        <v>1096660.57</v>
      </c>
      <c r="J244" s="18">
        <v>8619.59</v>
      </c>
      <c r="K244" s="18"/>
      <c r="L244" s="19">
        <f t="shared" si="4"/>
        <v>4600964.5999999996</v>
      </c>
      <c r="M244" s="8"/>
      <c r="N244" s="264"/>
    </row>
    <row r="245" spans="1:14" s="3" customFormat="1" ht="12.2" customHeight="1" x14ac:dyDescent="0.15">
      <c r="A245" s="1" t="s">
        <v>448</v>
      </c>
      <c r="B245" s="2" t="s">
        <v>350</v>
      </c>
      <c r="C245" s="2" t="s">
        <v>300</v>
      </c>
      <c r="D245" s="2" t="s">
        <v>431</v>
      </c>
      <c r="E245" s="6">
        <v>2700</v>
      </c>
      <c r="F245" s="18">
        <v>26605.43</v>
      </c>
      <c r="G245" s="18">
        <v>11918.52</v>
      </c>
      <c r="H245" s="18">
        <v>1151825.71</v>
      </c>
      <c r="I245" s="18"/>
      <c r="J245" s="18"/>
      <c r="K245" s="18"/>
      <c r="L245" s="19">
        <f t="shared" si="4"/>
        <v>1190349.6599999999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16988176.210000001</v>
      </c>
      <c r="G248" s="41">
        <f t="shared" si="5"/>
        <v>7610247.1099999994</v>
      </c>
      <c r="H248" s="41">
        <f t="shared" si="5"/>
        <v>5836550.6699999999</v>
      </c>
      <c r="I248" s="41">
        <f t="shared" si="5"/>
        <v>1566593.81</v>
      </c>
      <c r="J248" s="41">
        <f t="shared" si="5"/>
        <v>347881.03000000009</v>
      </c>
      <c r="K248" s="41">
        <f t="shared" si="5"/>
        <v>32106.989999999998</v>
      </c>
      <c r="L248" s="41">
        <f t="shared" si="5"/>
        <v>32381555.819999997</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147627.39000000001</v>
      </c>
      <c r="G252" s="18">
        <v>66133.11</v>
      </c>
      <c r="H252" s="18"/>
      <c r="I252" s="18">
        <v>15420.74</v>
      </c>
      <c r="J252" s="18"/>
      <c r="K252" s="18"/>
      <c r="L252" s="19">
        <f t="shared" si="6"/>
        <v>229181.24</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147627.39000000001</v>
      </c>
      <c r="G257" s="41">
        <f t="shared" si="7"/>
        <v>66133.11</v>
      </c>
      <c r="H257" s="41">
        <f t="shared" si="7"/>
        <v>0</v>
      </c>
      <c r="I257" s="41">
        <f t="shared" si="7"/>
        <v>15420.74</v>
      </c>
      <c r="J257" s="41">
        <f t="shared" si="7"/>
        <v>0</v>
      </c>
      <c r="K257" s="41">
        <f t="shared" si="7"/>
        <v>0</v>
      </c>
      <c r="L257" s="41">
        <f>SUM(F257:K257)</f>
        <v>229181.24</v>
      </c>
      <c r="M257" s="8"/>
      <c r="N257" s="264"/>
    </row>
    <row r="258" spans="1:14" s="3" customFormat="1" ht="12.2" customHeight="1" thickTop="1" x14ac:dyDescent="0.15">
      <c r="A258" s="38" t="s">
        <v>462</v>
      </c>
      <c r="B258" s="40">
        <v>10</v>
      </c>
      <c r="C258" s="40">
        <v>8</v>
      </c>
      <c r="D258" s="39" t="s">
        <v>431</v>
      </c>
      <c r="E258" s="40"/>
      <c r="F258" s="41">
        <f t="shared" ref="F258:L258" si="8">F212+F230+F248+F257</f>
        <v>29892132.32</v>
      </c>
      <c r="G258" s="41">
        <f t="shared" si="8"/>
        <v>13390873.199999999</v>
      </c>
      <c r="H258" s="41">
        <f t="shared" si="8"/>
        <v>8772527.0500000007</v>
      </c>
      <c r="I258" s="41">
        <f t="shared" si="8"/>
        <v>2168491.3100000005</v>
      </c>
      <c r="J258" s="41">
        <f t="shared" si="8"/>
        <v>589204.94000000006</v>
      </c>
      <c r="K258" s="41">
        <f t="shared" si="8"/>
        <v>47329.39</v>
      </c>
      <c r="L258" s="41">
        <f t="shared" si="8"/>
        <v>54860558.210000001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2307235.48</v>
      </c>
      <c r="L261" s="19">
        <f>SUM(F261:K261)</f>
        <v>2307235.48</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2293816.2799999998</v>
      </c>
      <c r="L262" s="19">
        <f>SUM(F262:K262)</f>
        <v>2293816.2799999998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280000</v>
      </c>
      <c r="L269" s="19">
        <f t="shared" si="9"/>
        <v>280000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4881051.76</v>
      </c>
      <c r="L271" s="41">
        <f t="shared" si="9"/>
        <v>4881051.76</v>
      </c>
      <c r="M271" s="8"/>
      <c r="N271" s="264"/>
    </row>
    <row r="272" spans="1:14" s="34" customFormat="1" ht="12.2" customHeight="1" thickTop="1" x14ac:dyDescent="0.2">
      <c r="A272" s="43" t="s">
        <v>464</v>
      </c>
      <c r="B272" s="40">
        <v>10</v>
      </c>
      <c r="C272" s="40">
        <v>18</v>
      </c>
      <c r="D272" s="39" t="s">
        <v>431</v>
      </c>
      <c r="E272" s="40"/>
      <c r="F272" s="42">
        <f t="shared" ref="F272:L272" si="11">F258+F271</f>
        <v>29892132.32</v>
      </c>
      <c r="G272" s="42">
        <f t="shared" si="11"/>
        <v>13390873.199999999</v>
      </c>
      <c r="H272" s="42">
        <f t="shared" si="11"/>
        <v>8772527.0500000007</v>
      </c>
      <c r="I272" s="42">
        <f t="shared" si="11"/>
        <v>2168491.3100000005</v>
      </c>
      <c r="J272" s="42">
        <f t="shared" si="11"/>
        <v>589204.94000000006</v>
      </c>
      <c r="K272" s="42">
        <f t="shared" si="11"/>
        <v>4928381.1499999994</v>
      </c>
      <c r="L272" s="42">
        <f t="shared" si="11"/>
        <v>59741609.969999999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v>249485.48</v>
      </c>
      <c r="G297" s="18">
        <v>70342.19</v>
      </c>
      <c r="H297" s="18">
        <v>105156.41</v>
      </c>
      <c r="I297" s="18">
        <v>26222.02</v>
      </c>
      <c r="J297" s="18"/>
      <c r="K297" s="18">
        <v>2669.35</v>
      </c>
      <c r="L297" s="19">
        <f>SUM(F297:K297)</f>
        <v>453875.45000000007</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v>51032.11</v>
      </c>
      <c r="L301" s="19">
        <f t="shared" ref="L301:L307" si="14">SUM(F301:K301)</f>
        <v>51032.11</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249485.48</v>
      </c>
      <c r="G310" s="42">
        <f t="shared" si="15"/>
        <v>70342.19</v>
      </c>
      <c r="H310" s="42">
        <f t="shared" si="15"/>
        <v>105156.41</v>
      </c>
      <c r="I310" s="42">
        <f t="shared" si="15"/>
        <v>26222.02</v>
      </c>
      <c r="J310" s="42">
        <f t="shared" si="15"/>
        <v>0</v>
      </c>
      <c r="K310" s="42">
        <f t="shared" si="15"/>
        <v>53701.46</v>
      </c>
      <c r="L310" s="41">
        <f t="shared" si="15"/>
        <v>504907.56000000006</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v>249485.47</v>
      </c>
      <c r="G316" s="18">
        <v>70342.19</v>
      </c>
      <c r="H316" s="18">
        <v>105156.42</v>
      </c>
      <c r="I316" s="18">
        <v>26222.01</v>
      </c>
      <c r="J316" s="18"/>
      <c r="K316" s="18">
        <v>2669.35</v>
      </c>
      <c r="L316" s="19">
        <f>SUM(F316:K316)</f>
        <v>453875.44</v>
      </c>
      <c r="M316" s="8"/>
      <c r="N316" s="264"/>
    </row>
    <row r="317" spans="1:14" s="3" customFormat="1" ht="12.2" customHeight="1" x14ac:dyDescent="0.15">
      <c r="A317" s="1" t="s">
        <v>440</v>
      </c>
      <c r="B317" s="2" t="s">
        <v>359</v>
      </c>
      <c r="C317" s="2" t="s">
        <v>292</v>
      </c>
      <c r="D317" s="2" t="s">
        <v>431</v>
      </c>
      <c r="E317" s="6">
        <v>1300</v>
      </c>
      <c r="F317" s="18">
        <v>41316.19</v>
      </c>
      <c r="G317" s="18">
        <v>6357.9</v>
      </c>
      <c r="H317" s="18">
        <v>64025.59</v>
      </c>
      <c r="I317" s="18">
        <v>75273.179999999993</v>
      </c>
      <c r="J317" s="18">
        <v>115149.19</v>
      </c>
      <c r="K317" s="18">
        <v>13062.5</v>
      </c>
      <c r="L317" s="19">
        <f>SUM(F317:K317)</f>
        <v>315184.55</v>
      </c>
      <c r="M317" s="8"/>
      <c r="N317" s="264"/>
    </row>
    <row r="318" spans="1:14" s="3" customFormat="1" ht="12.2" customHeight="1" x14ac:dyDescent="0.15">
      <c r="A318" s="1" t="s">
        <v>441</v>
      </c>
      <c r="B318" s="2" t="s">
        <v>359</v>
      </c>
      <c r="C318" s="2" t="s">
        <v>293</v>
      </c>
      <c r="D318" s="2" t="s">
        <v>431</v>
      </c>
      <c r="E318" s="6">
        <v>1400</v>
      </c>
      <c r="F318" s="18">
        <v>1055</v>
      </c>
      <c r="G318" s="18">
        <v>42.46</v>
      </c>
      <c r="H318" s="18"/>
      <c r="I318" s="18">
        <v>2517.27</v>
      </c>
      <c r="J318" s="18"/>
      <c r="K318" s="18"/>
      <c r="L318" s="19">
        <f>SUM(F318:K318)</f>
        <v>3614.73</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v>943.5</v>
      </c>
      <c r="J320" s="18"/>
      <c r="K320" s="18">
        <v>219057.47</v>
      </c>
      <c r="L320" s="19">
        <f t="shared" ref="L320:L326" si="16">SUM(F320:K320)</f>
        <v>220000.97</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291856.66000000003</v>
      </c>
      <c r="G329" s="42">
        <f t="shared" si="17"/>
        <v>76742.55</v>
      </c>
      <c r="H329" s="42">
        <f t="shared" si="17"/>
        <v>169182.01</v>
      </c>
      <c r="I329" s="42">
        <f t="shared" si="17"/>
        <v>104955.95999999999</v>
      </c>
      <c r="J329" s="42">
        <f t="shared" si="17"/>
        <v>115149.19</v>
      </c>
      <c r="K329" s="42">
        <f t="shared" si="17"/>
        <v>234789.32</v>
      </c>
      <c r="L329" s="41">
        <f t="shared" si="17"/>
        <v>992675.69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v>191516.85</v>
      </c>
      <c r="G334" s="18">
        <v>46625.91</v>
      </c>
      <c r="H334" s="18">
        <v>11608.96</v>
      </c>
      <c r="I334" s="18">
        <v>20831.18</v>
      </c>
      <c r="J334" s="18">
        <v>59691.05</v>
      </c>
      <c r="K334" s="18">
        <v>5750.99</v>
      </c>
      <c r="L334" s="19">
        <f t="shared" si="18"/>
        <v>336024.94</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191516.85</v>
      </c>
      <c r="G338" s="41">
        <f t="shared" si="19"/>
        <v>46625.91</v>
      </c>
      <c r="H338" s="41">
        <f t="shared" si="19"/>
        <v>11608.96</v>
      </c>
      <c r="I338" s="41">
        <f t="shared" si="19"/>
        <v>20831.18</v>
      </c>
      <c r="J338" s="41">
        <f t="shared" si="19"/>
        <v>59691.05</v>
      </c>
      <c r="K338" s="41">
        <f t="shared" si="19"/>
        <v>5750.99</v>
      </c>
      <c r="L338" s="41">
        <f t="shared" si="18"/>
        <v>336024.94</v>
      </c>
      <c r="M338" s="8"/>
      <c r="N338" s="264"/>
    </row>
    <row r="339" spans="1:43" s="3" customFormat="1" ht="12.2" customHeight="1" thickTop="1" x14ac:dyDescent="0.15">
      <c r="A339" s="38" t="s">
        <v>468</v>
      </c>
      <c r="B339" s="40">
        <v>14</v>
      </c>
      <c r="C339" s="40">
        <v>7</v>
      </c>
      <c r="D339" s="39" t="s">
        <v>431</v>
      </c>
      <c r="E339" s="40"/>
      <c r="F339" s="41">
        <f t="shared" ref="F339:L339" si="20">F291+F310+F329+F338</f>
        <v>732858.99</v>
      </c>
      <c r="G339" s="41">
        <f t="shared" si="20"/>
        <v>193710.65</v>
      </c>
      <c r="H339" s="41">
        <f t="shared" si="20"/>
        <v>285947.38000000006</v>
      </c>
      <c r="I339" s="41">
        <f t="shared" si="20"/>
        <v>152009.15999999997</v>
      </c>
      <c r="J339" s="41">
        <f t="shared" si="20"/>
        <v>174840.24</v>
      </c>
      <c r="K339" s="41">
        <f t="shared" si="20"/>
        <v>294241.77</v>
      </c>
      <c r="L339" s="41">
        <f t="shared" si="20"/>
        <v>1833608.19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732858.99</v>
      </c>
      <c r="G353" s="41">
        <f>G339</f>
        <v>193710.65</v>
      </c>
      <c r="H353" s="41">
        <f>H339</f>
        <v>285947.38000000006</v>
      </c>
      <c r="I353" s="41">
        <f>I339</f>
        <v>152009.15999999997</v>
      </c>
      <c r="J353" s="41">
        <f>J339</f>
        <v>174840.24</v>
      </c>
      <c r="K353" s="47">
        <f>K339+K352</f>
        <v>294241.77</v>
      </c>
      <c r="L353" s="41">
        <f>L339+L352</f>
        <v>1833608.19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4"/>
    </row>
    <row r="360" spans="1:22" s="3" customFormat="1" ht="12.2" customHeight="1" x14ac:dyDescent="0.15">
      <c r="A360" s="1" t="s">
        <v>542</v>
      </c>
      <c r="B360" s="2" t="s">
        <v>366</v>
      </c>
      <c r="C360" s="6">
        <v>2</v>
      </c>
      <c r="D360" s="2" t="s">
        <v>431</v>
      </c>
      <c r="E360" s="6"/>
      <c r="F360" s="18">
        <v>17712.310000000001</v>
      </c>
      <c r="G360" s="18">
        <v>4883.24</v>
      </c>
      <c r="H360" s="18">
        <v>3341.71</v>
      </c>
      <c r="I360" s="18">
        <v>30338.78</v>
      </c>
      <c r="J360" s="18"/>
      <c r="K360" s="18">
        <v>78</v>
      </c>
      <c r="L360" s="19">
        <f>SUM(F360:K360)</f>
        <v>56354.04</v>
      </c>
      <c r="M360" s="8"/>
      <c r="N360" s="264"/>
    </row>
    <row r="361" spans="1:22" s="3" customFormat="1" ht="12.2" customHeight="1" x14ac:dyDescent="0.15">
      <c r="A361" s="3" t="s">
        <v>543</v>
      </c>
      <c r="B361" s="2" t="s">
        <v>366</v>
      </c>
      <c r="C361" s="6">
        <v>3</v>
      </c>
      <c r="D361" s="2" t="s">
        <v>431</v>
      </c>
      <c r="E361" s="6"/>
      <c r="F361" s="18">
        <v>262863.62</v>
      </c>
      <c r="G361" s="18">
        <v>90013.25</v>
      </c>
      <c r="H361" s="18">
        <v>36355.019999999997</v>
      </c>
      <c r="I361" s="18">
        <v>298658.51</v>
      </c>
      <c r="J361" s="18">
        <v>3699.24</v>
      </c>
      <c r="K361" s="18">
        <v>1064.4000000000001</v>
      </c>
      <c r="L361" s="19">
        <f>SUM(F361:K361)</f>
        <v>692654.04</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280575.93</v>
      </c>
      <c r="G363" s="47">
        <f t="shared" si="22"/>
        <v>94896.49</v>
      </c>
      <c r="H363" s="47">
        <f t="shared" si="22"/>
        <v>39696.729999999996</v>
      </c>
      <c r="I363" s="47">
        <f t="shared" si="22"/>
        <v>328997.29000000004</v>
      </c>
      <c r="J363" s="47">
        <f t="shared" si="22"/>
        <v>3699.24</v>
      </c>
      <c r="K363" s="47">
        <f t="shared" si="22"/>
        <v>1142.4000000000001</v>
      </c>
      <c r="L363" s="47">
        <f t="shared" si="22"/>
        <v>749008.08000000007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v>25934.02</v>
      </c>
      <c r="H368" s="18">
        <v>253624.38</v>
      </c>
      <c r="I368" s="56">
        <f>SUM(F368:H368)</f>
        <v>279558.40000000002</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v>4404.76</v>
      </c>
      <c r="H369" s="63">
        <v>45034.13</v>
      </c>
      <c r="I369" s="56">
        <f>SUM(F369:H369)</f>
        <v>49438.89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30338.78</v>
      </c>
      <c r="H370" s="47">
        <f>SUM(H368:H369)</f>
        <v>298658.51</v>
      </c>
      <c r="I370" s="47">
        <f>SUM(I368:I369)</f>
        <v>328997.29000000004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v>132148.81</v>
      </c>
      <c r="I377" s="18"/>
      <c r="J377" s="18"/>
      <c r="K377" s="18"/>
      <c r="L377" s="13">
        <f t="shared" si="23"/>
        <v>132148.81</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v>11559208.460000001</v>
      </c>
      <c r="I379" s="18"/>
      <c r="J379" s="18">
        <v>82142.649999999994</v>
      </c>
      <c r="K379" s="18"/>
      <c r="L379" s="13">
        <f t="shared" si="23"/>
        <v>11641351.110000001</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v>101595</v>
      </c>
      <c r="G381" s="18"/>
      <c r="H381" s="18"/>
      <c r="I381" s="18"/>
      <c r="J381" s="18"/>
      <c r="K381" s="18">
        <v>56767.99</v>
      </c>
      <c r="L381" s="13">
        <f t="shared" si="23"/>
        <v>158362.99</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101595</v>
      </c>
      <c r="G383" s="139">
        <f t="shared" ref="G383:L383" si="24">SUM(G375:G382)</f>
        <v>0</v>
      </c>
      <c r="H383" s="139">
        <f t="shared" si="24"/>
        <v>11691357.270000001</v>
      </c>
      <c r="I383" s="41">
        <f t="shared" si="24"/>
        <v>0</v>
      </c>
      <c r="J383" s="47">
        <f t="shared" si="24"/>
        <v>82142.649999999994</v>
      </c>
      <c r="K383" s="47">
        <f t="shared" si="24"/>
        <v>56767.99</v>
      </c>
      <c r="L383" s="47">
        <f t="shared" si="24"/>
        <v>11931862.910000002</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676.93</v>
      </c>
      <c r="I389" s="18"/>
      <c r="J389" s="24" t="s">
        <v>288</v>
      </c>
      <c r="K389" s="24" t="s">
        <v>288</v>
      </c>
      <c r="L389" s="56">
        <f t="shared" si="25"/>
        <v>676.93</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v>404.59</v>
      </c>
      <c r="I392" s="18"/>
      <c r="J392" s="24" t="s">
        <v>288</v>
      </c>
      <c r="K392" s="24" t="s">
        <v>288</v>
      </c>
      <c r="L392" s="56">
        <f t="shared" si="25"/>
        <v>404.59</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1081.52</v>
      </c>
      <c r="I394" s="65">
        <f>SUM(I388:I393)</f>
        <v>0</v>
      </c>
      <c r="J394" s="45" t="s">
        <v>288</v>
      </c>
      <c r="K394" s="45" t="s">
        <v>288</v>
      </c>
      <c r="L394" s="47">
        <f>SUM(L388:L393)</f>
        <v>1081.52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866.18</v>
      </c>
      <c r="I397" s="18"/>
      <c r="J397" s="24" t="s">
        <v>288</v>
      </c>
      <c r="K397" s="24" t="s">
        <v>288</v>
      </c>
      <c r="L397" s="56">
        <f t="shared" si="26"/>
        <v>866.18</v>
      </c>
      <c r="M397" s="8"/>
      <c r="N397" s="264"/>
    </row>
    <row r="398" spans="1:14" s="3" customFormat="1" ht="12.2" customHeight="1" x14ac:dyDescent="0.15">
      <c r="A398" s="79" t="s">
        <v>515</v>
      </c>
      <c r="B398" s="2" t="s">
        <v>381</v>
      </c>
      <c r="C398" s="6">
        <v>10</v>
      </c>
      <c r="D398" s="2" t="s">
        <v>432</v>
      </c>
      <c r="E398" s="6"/>
      <c r="F398" s="18"/>
      <c r="G398" s="18"/>
      <c r="H398" s="18">
        <v>872.57</v>
      </c>
      <c r="I398" s="18"/>
      <c r="J398" s="24" t="s">
        <v>288</v>
      </c>
      <c r="K398" s="24" t="s">
        <v>288</v>
      </c>
      <c r="L398" s="56">
        <f t="shared" si="26"/>
        <v>872.57</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823.46</v>
      </c>
      <c r="I401" s="18">
        <v>1845.32</v>
      </c>
      <c r="J401" s="24" t="s">
        <v>288</v>
      </c>
      <c r="K401" s="24" t="s">
        <v>288</v>
      </c>
      <c r="L401" s="56">
        <f t="shared" si="26"/>
        <v>2668.7799999999997</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2562.21</v>
      </c>
      <c r="I402" s="47">
        <f>SUM(I396:I401)</f>
        <v>1845.32</v>
      </c>
      <c r="J402" s="45" t="s">
        <v>288</v>
      </c>
      <c r="K402" s="45" t="s">
        <v>288</v>
      </c>
      <c r="L402" s="47">
        <f>SUM(L396:L401)</f>
        <v>4407.53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3643.73</v>
      </c>
      <c r="I409" s="47">
        <f>I394+I402+I408</f>
        <v>1845.32</v>
      </c>
      <c r="J409" s="24" t="s">
        <v>288</v>
      </c>
      <c r="K409" s="24" t="s">
        <v>288</v>
      </c>
      <c r="L409" s="47">
        <f>L394+L402+L408</f>
        <v>5489.0499999999993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v>255100</v>
      </c>
      <c r="I418" s="18"/>
      <c r="J418" s="18"/>
      <c r="K418" s="18"/>
      <c r="L418" s="56">
        <f t="shared" si="27"/>
        <v>255100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255100</v>
      </c>
      <c r="I420" s="139">
        <f t="shared" si="28"/>
        <v>0</v>
      </c>
      <c r="J420" s="139">
        <f t="shared" si="28"/>
        <v>0</v>
      </c>
      <c r="K420" s="139">
        <f t="shared" si="28"/>
        <v>0</v>
      </c>
      <c r="L420" s="47">
        <f t="shared" si="28"/>
        <v>255100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255100</v>
      </c>
      <c r="I435" s="47">
        <f t="shared" si="32"/>
        <v>0</v>
      </c>
      <c r="J435" s="47">
        <f t="shared" si="32"/>
        <v>0</v>
      </c>
      <c r="K435" s="47">
        <f t="shared" si="32"/>
        <v>0</v>
      </c>
      <c r="L435" s="47">
        <f t="shared" si="32"/>
        <v>255100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412176.5</v>
      </c>
      <c r="G440" s="18">
        <v>1560719.46</v>
      </c>
      <c r="H440" s="18"/>
      <c r="I440" s="56">
        <f t="shared" ref="I440:I446" si="33">SUM(F440:H440)</f>
        <v>1972895.96</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412176.5</v>
      </c>
      <c r="G447" s="13">
        <f>SUM(G440:G446)</f>
        <v>1560719.46</v>
      </c>
      <c r="H447" s="13">
        <f>SUM(H440:H446)</f>
        <v>0</v>
      </c>
      <c r="I447" s="13">
        <f>SUM(I440:I446)</f>
        <v>1972895.96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412176.5</v>
      </c>
      <c r="G460" s="18">
        <v>1560719.46</v>
      </c>
      <c r="H460" s="18"/>
      <c r="I460" s="56">
        <f t="shared" si="34"/>
        <v>1972895.96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412176.5</v>
      </c>
      <c r="G461" s="83">
        <f>SUM(G455:G460)</f>
        <v>1560719.46</v>
      </c>
      <c r="H461" s="83">
        <f>SUM(H455:H460)</f>
        <v>0</v>
      </c>
      <c r="I461" s="83">
        <f>SUM(I455:I460)</f>
        <v>1972895.96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412176.5</v>
      </c>
      <c r="G462" s="42">
        <f>G453+G461</f>
        <v>1560719.46</v>
      </c>
      <c r="H462" s="42">
        <f>H453+H461</f>
        <v>0</v>
      </c>
      <c r="I462" s="42">
        <f>I453+I461</f>
        <v>1972895.96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3285980.72</v>
      </c>
      <c r="G466" s="18">
        <v>326945.59999999998</v>
      </c>
      <c r="H466" s="18">
        <v>518777.62</v>
      </c>
      <c r="I466" s="18">
        <v>16078478.58</v>
      </c>
      <c r="J466" s="18">
        <v>2222506.91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62462568.380000003</v>
      </c>
      <c r="G469" s="18">
        <v>689429.53</v>
      </c>
      <c r="H469" s="18">
        <v>1868935.7</v>
      </c>
      <c r="I469" s="18">
        <v>20733.78</v>
      </c>
      <c r="J469" s="18">
        <v>5489.05</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62462568.380000003</v>
      </c>
      <c r="G471" s="53">
        <f>SUM(G469:G470)</f>
        <v>689429.53</v>
      </c>
      <c r="H471" s="53">
        <f>SUM(H469:H470)</f>
        <v>1868935.7</v>
      </c>
      <c r="I471" s="53">
        <f>SUM(I469:I470)</f>
        <v>20733.78</v>
      </c>
      <c r="J471" s="53">
        <f>SUM(J469:J470)</f>
        <v>5489.05</v>
      </c>
      <c r="K471" s="24" t="s">
        <v>288</v>
      </c>
      <c r="L471" s="24" t="s">
        <v>288</v>
      </c>
      <c r="N471" s="263"/>
    </row>
    <row r="472" spans="1:14" s="52" customFormat="1" ht="12.2" customHeight="1" thickBot="1" x14ac:dyDescent="0.25">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thickTop="1" x14ac:dyDescent="0.2">
      <c r="A473" s="93" t="s">
        <v>612</v>
      </c>
      <c r="B473" s="75">
        <v>19</v>
      </c>
      <c r="C473" s="80">
        <v>5</v>
      </c>
      <c r="D473" s="2" t="s">
        <v>432</v>
      </c>
      <c r="E473" s="80"/>
      <c r="F473" s="359">
        <v>59741609.969999999</v>
      </c>
      <c r="G473" s="18">
        <v>749008.08</v>
      </c>
      <c r="H473" s="18">
        <v>1833608.19</v>
      </c>
      <c r="I473" s="18">
        <v>11931862.91</v>
      </c>
      <c r="J473" s="18">
        <v>255100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59741609.969999999</v>
      </c>
      <c r="G475" s="53">
        <f>SUM(G473:G474)</f>
        <v>749008.08</v>
      </c>
      <c r="H475" s="53">
        <f>SUM(H473:H474)</f>
        <v>1833608.19</v>
      </c>
      <c r="I475" s="53">
        <f>SUM(I473:I474)</f>
        <v>11931862.91</v>
      </c>
      <c r="J475" s="53">
        <f>SUM(J473:J474)</f>
        <v>255100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6006939.1300000027</v>
      </c>
      <c r="G477" s="53">
        <f>(G466+G471)- G475</f>
        <v>267367.05000000005</v>
      </c>
      <c r="H477" s="53">
        <f>(H466+H471)- H475</f>
        <v>554105.12999999989</v>
      </c>
      <c r="I477" s="53">
        <f>(I466+I471)- I475</f>
        <v>4167349.4499999993</v>
      </c>
      <c r="J477" s="53">
        <f>(J466+J471)- J475</f>
        <v>1972895.96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t="s">
        <v>1675</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42695000</v>
      </c>
      <c r="G494" s="18">
        <v>17800000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3.7</v>
      </c>
      <c r="G495" s="18">
        <v>2.15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5619155.1500000004</v>
      </c>
      <c r="G496" s="18">
        <v>16046500</v>
      </c>
      <c r="H496" s="18"/>
      <c r="I496" s="18"/>
      <c r="J496" s="18"/>
      <c r="K496" s="53">
        <f>SUM(F496:J496)</f>
        <v>21665655.149999999</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1505735.48</v>
      </c>
      <c r="G498" s="18">
        <v>801500</v>
      </c>
      <c r="H498" s="18"/>
      <c r="I498" s="18"/>
      <c r="J498" s="18"/>
      <c r="K498" s="53">
        <f t="shared" si="35"/>
        <v>2307235.48</v>
      </c>
      <c r="L498" s="24" t="s">
        <v>288</v>
      </c>
      <c r="N498" s="263"/>
    </row>
    <row r="499" spans="1:14" s="52" customFormat="1" ht="12.2" customHeight="1" x14ac:dyDescent="0.2">
      <c r="A499" s="200" t="s">
        <v>622</v>
      </c>
      <c r="B499" s="201">
        <v>20</v>
      </c>
      <c r="C499" s="202">
        <v>9</v>
      </c>
      <c r="D499" s="203" t="s">
        <v>432</v>
      </c>
      <c r="E499" s="202"/>
      <c r="F499" s="204">
        <v>4113419.67</v>
      </c>
      <c r="G499" s="204">
        <v>15245000</v>
      </c>
      <c r="H499" s="204"/>
      <c r="I499" s="204"/>
      <c r="J499" s="204"/>
      <c r="K499" s="205">
        <f t="shared" si="35"/>
        <v>19358419.670000002</v>
      </c>
      <c r="L499" s="206" t="s">
        <v>288</v>
      </c>
      <c r="N499" s="263"/>
    </row>
    <row r="500" spans="1:14" s="52" customFormat="1" ht="12.2" customHeight="1" thickBot="1" x14ac:dyDescent="0.25">
      <c r="A500" s="22" t="s">
        <v>623</v>
      </c>
      <c r="B500" s="75">
        <v>20</v>
      </c>
      <c r="C500" s="115">
        <v>10</v>
      </c>
      <c r="D500" s="2" t="s">
        <v>432</v>
      </c>
      <c r="E500" s="115"/>
      <c r="F500" s="18">
        <v>5418929.5800000001</v>
      </c>
      <c r="G500" s="18">
        <v>4925475</v>
      </c>
      <c r="H500" s="18"/>
      <c r="I500" s="18"/>
      <c r="J500" s="18"/>
      <c r="K500" s="53">
        <f t="shared" si="35"/>
        <v>10344404.58</v>
      </c>
      <c r="L500" s="24" t="s">
        <v>288</v>
      </c>
      <c r="N500" s="263"/>
    </row>
    <row r="501" spans="1:14" s="52" customFormat="1" ht="12.2" customHeight="1" thickTop="1" x14ac:dyDescent="0.2">
      <c r="A501" s="139" t="s">
        <v>624</v>
      </c>
      <c r="B501" s="44">
        <v>20</v>
      </c>
      <c r="C501" s="195">
        <v>11</v>
      </c>
      <c r="D501" s="39" t="s">
        <v>432</v>
      </c>
      <c r="E501" s="195"/>
      <c r="F501" s="42">
        <f>SUM(F499:F500)</f>
        <v>9532349.25</v>
      </c>
      <c r="G501" s="42">
        <f>SUM(G499:G500)</f>
        <v>20170475</v>
      </c>
      <c r="H501" s="42">
        <f>SUM(H499:H500)</f>
        <v>0</v>
      </c>
      <c r="I501" s="42">
        <f>SUM(I499:I500)</f>
        <v>0</v>
      </c>
      <c r="J501" s="42">
        <f>SUM(J499:J500)</f>
        <v>0</v>
      </c>
      <c r="K501" s="42">
        <f t="shared" si="35"/>
        <v>29702824.25</v>
      </c>
      <c r="L501" s="45" t="s">
        <v>288</v>
      </c>
      <c r="N501" s="263"/>
    </row>
    <row r="502" spans="1:14" s="52" customFormat="1" ht="12.2" customHeight="1" x14ac:dyDescent="0.2">
      <c r="A502" s="200" t="s">
        <v>651</v>
      </c>
      <c r="B502" s="201">
        <v>20</v>
      </c>
      <c r="C502" s="202">
        <v>12</v>
      </c>
      <c r="D502" s="203" t="s">
        <v>432</v>
      </c>
      <c r="E502" s="202"/>
      <c r="F502" s="204">
        <v>1441926.85</v>
      </c>
      <c r="G502" s="204">
        <v>805000</v>
      </c>
      <c r="H502" s="204"/>
      <c r="I502" s="204"/>
      <c r="J502" s="204"/>
      <c r="K502" s="205">
        <f t="shared" si="35"/>
        <v>2246926.85</v>
      </c>
      <c r="L502" s="206" t="s">
        <v>288</v>
      </c>
      <c r="N502" s="263"/>
    </row>
    <row r="503" spans="1:14" s="52" customFormat="1" ht="12.2" customHeight="1" thickBot="1" x14ac:dyDescent="0.25">
      <c r="A503" s="22" t="s">
        <v>625</v>
      </c>
      <c r="B503" s="75">
        <v>20</v>
      </c>
      <c r="C503" s="115">
        <v>13</v>
      </c>
      <c r="D503" s="2" t="s">
        <v>432</v>
      </c>
      <c r="E503" s="115"/>
      <c r="F503" s="18">
        <v>1703219.4</v>
      </c>
      <c r="G503" s="18">
        <v>588495</v>
      </c>
      <c r="H503" s="18"/>
      <c r="I503" s="18"/>
      <c r="J503" s="18"/>
      <c r="K503" s="53">
        <f t="shared" si="35"/>
        <v>2291714.4</v>
      </c>
      <c r="L503" s="24" t="s">
        <v>288</v>
      </c>
      <c r="N503" s="263"/>
    </row>
    <row r="504" spans="1:14" s="52" customFormat="1" ht="12.2" customHeight="1" thickTop="1" x14ac:dyDescent="0.2">
      <c r="A504" s="139" t="s">
        <v>626</v>
      </c>
      <c r="B504" s="44">
        <v>20</v>
      </c>
      <c r="C504" s="195">
        <v>14</v>
      </c>
      <c r="D504" s="39" t="s">
        <v>432</v>
      </c>
      <c r="E504" s="195"/>
      <c r="F504" s="42">
        <f>SUM(F502:F503)</f>
        <v>3145146.25</v>
      </c>
      <c r="G504" s="42">
        <f>SUM(G502:G503)</f>
        <v>1393495</v>
      </c>
      <c r="H504" s="42">
        <f>SUM(H502:H503)</f>
        <v>0</v>
      </c>
      <c r="I504" s="42">
        <f>SUM(I502:I503)</f>
        <v>0</v>
      </c>
      <c r="J504" s="42">
        <f>SUM(J502:J503)</f>
        <v>0</v>
      </c>
      <c r="K504" s="42">
        <f t="shared" si="35"/>
        <v>4538641.25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3"/>
    </row>
    <row r="523" spans="1:14" s="52" customFormat="1" ht="12.2" customHeight="1" x14ac:dyDescent="0.2">
      <c r="A523" s="22" t="s">
        <v>634</v>
      </c>
      <c r="B523" s="105">
        <v>21</v>
      </c>
      <c r="C523" s="115">
        <v>2</v>
      </c>
      <c r="D523" s="2" t="s">
        <v>432</v>
      </c>
      <c r="E523" s="115"/>
      <c r="F523" s="18">
        <v>2293210.91</v>
      </c>
      <c r="G523" s="18">
        <v>1027296.95</v>
      </c>
      <c r="H523" s="18">
        <v>550147.13</v>
      </c>
      <c r="I523" s="18">
        <v>39779.879999999997</v>
      </c>
      <c r="J523" s="18">
        <v>23898.52</v>
      </c>
      <c r="K523" s="18"/>
      <c r="L523" s="88">
        <f>SUM(F523:K523)</f>
        <v>3934333.39</v>
      </c>
      <c r="N523" s="263"/>
    </row>
    <row r="524" spans="1:14" s="52" customFormat="1" ht="12.2" customHeight="1" thickBot="1" x14ac:dyDescent="0.25">
      <c r="A524" s="22" t="s">
        <v>635</v>
      </c>
      <c r="B524" s="105">
        <v>21</v>
      </c>
      <c r="C524" s="115">
        <v>3</v>
      </c>
      <c r="D524" s="2" t="s">
        <v>432</v>
      </c>
      <c r="E524" s="115"/>
      <c r="F524" s="18">
        <v>2135481.27</v>
      </c>
      <c r="G524" s="18">
        <v>956638.31</v>
      </c>
      <c r="H524" s="18">
        <v>1583613.53</v>
      </c>
      <c r="I524" s="18">
        <v>39208.699999999997</v>
      </c>
      <c r="J524" s="18">
        <v>13151.25</v>
      </c>
      <c r="K524" s="18"/>
      <c r="L524" s="88">
        <f>SUM(F524:K524)</f>
        <v>4728093.0600000005</v>
      </c>
      <c r="N524" s="263"/>
    </row>
    <row r="525" spans="1:14" s="52" customFormat="1" ht="12.2" customHeight="1" thickTop="1" x14ac:dyDescent="0.2">
      <c r="A525" s="139" t="s">
        <v>63</v>
      </c>
      <c r="B525" s="107">
        <v>21</v>
      </c>
      <c r="C525" s="195">
        <v>4</v>
      </c>
      <c r="D525" s="196" t="s">
        <v>432</v>
      </c>
      <c r="E525" s="195"/>
      <c r="F525" s="108">
        <f>SUM(F522:F524)</f>
        <v>4428692.18</v>
      </c>
      <c r="G525" s="108">
        <f t="shared" ref="G525:L525" si="36">SUM(G522:G524)</f>
        <v>1983935.26</v>
      </c>
      <c r="H525" s="108">
        <f t="shared" si="36"/>
        <v>2133760.66</v>
      </c>
      <c r="I525" s="108">
        <f t="shared" si="36"/>
        <v>78988.579999999987</v>
      </c>
      <c r="J525" s="108">
        <f t="shared" si="36"/>
        <v>37049.770000000004</v>
      </c>
      <c r="K525" s="108">
        <f t="shared" si="36"/>
        <v>0</v>
      </c>
      <c r="L525" s="89">
        <f t="shared" si="36"/>
        <v>8662426.4500000011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v>1271047.49</v>
      </c>
      <c r="G528" s="18">
        <v>569395.17000000004</v>
      </c>
      <c r="H528" s="18">
        <v>77169.7</v>
      </c>
      <c r="I528" s="18">
        <v>5692.99</v>
      </c>
      <c r="J528" s="18"/>
      <c r="K528" s="18"/>
      <c r="L528" s="88">
        <f>SUM(F528:K528)</f>
        <v>1923305.35</v>
      </c>
      <c r="M528" s="8"/>
      <c r="N528" s="264"/>
    </row>
    <row r="529" spans="1:14" s="3" customFormat="1" ht="12.2" customHeight="1" thickBot="1" x14ac:dyDescent="0.2">
      <c r="A529" s="22" t="s">
        <v>635</v>
      </c>
      <c r="B529" s="118">
        <v>21</v>
      </c>
      <c r="C529" s="118">
        <v>7</v>
      </c>
      <c r="D529" s="2" t="s">
        <v>432</v>
      </c>
      <c r="E529" s="118"/>
      <c r="F529" s="18">
        <v>1516905.95</v>
      </c>
      <c r="G529" s="18">
        <v>679533.16</v>
      </c>
      <c r="H529" s="18">
        <v>130578.28</v>
      </c>
      <c r="I529" s="18">
        <v>12464.1</v>
      </c>
      <c r="J529" s="18"/>
      <c r="K529" s="18">
        <v>807</v>
      </c>
      <c r="L529" s="88">
        <f>SUM(F529:K529)</f>
        <v>2340288.4899999998</v>
      </c>
      <c r="M529" s="8"/>
      <c r="N529" s="264"/>
    </row>
    <row r="530" spans="1:14" s="3" customFormat="1" ht="12.2" customHeight="1" thickTop="1" x14ac:dyDescent="0.15">
      <c r="A530" s="139" t="s">
        <v>65</v>
      </c>
      <c r="B530" s="107">
        <v>21</v>
      </c>
      <c r="C530" s="107">
        <v>8</v>
      </c>
      <c r="D530" s="158" t="s">
        <v>432</v>
      </c>
      <c r="E530" s="107"/>
      <c r="F530" s="89">
        <f>SUM(F527:F529)</f>
        <v>2787953.44</v>
      </c>
      <c r="G530" s="89">
        <f t="shared" ref="G530:L530" si="37">SUM(G527:G529)</f>
        <v>1248928.33</v>
      </c>
      <c r="H530" s="89">
        <f t="shared" si="37"/>
        <v>207747.97999999998</v>
      </c>
      <c r="I530" s="89">
        <f t="shared" si="37"/>
        <v>18157.09</v>
      </c>
      <c r="J530" s="89">
        <f t="shared" si="37"/>
        <v>0</v>
      </c>
      <c r="K530" s="89">
        <f t="shared" si="37"/>
        <v>807</v>
      </c>
      <c r="L530" s="89">
        <f t="shared" si="37"/>
        <v>4263593.84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v>265739.7</v>
      </c>
      <c r="G533" s="18">
        <v>119044.26</v>
      </c>
      <c r="H533" s="18"/>
      <c r="I533" s="18"/>
      <c r="J533" s="18"/>
      <c r="K533" s="18"/>
      <c r="L533" s="88">
        <f>SUM(F533:K533)</f>
        <v>384783.96</v>
      </c>
      <c r="M533" s="8"/>
      <c r="N533" s="264"/>
    </row>
    <row r="534" spans="1:14" s="3" customFormat="1" ht="12.2" customHeight="1" thickBot="1" x14ac:dyDescent="0.2">
      <c r="A534" s="22" t="s">
        <v>635</v>
      </c>
      <c r="B534" s="105">
        <v>21</v>
      </c>
      <c r="C534" s="105">
        <v>11</v>
      </c>
      <c r="D534" s="2" t="s">
        <v>432</v>
      </c>
      <c r="E534" s="105"/>
      <c r="F534" s="18">
        <v>277412.40000000002</v>
      </c>
      <c r="G534" s="18">
        <v>124273.31</v>
      </c>
      <c r="H534" s="18"/>
      <c r="I534" s="18"/>
      <c r="J534" s="18"/>
      <c r="K534" s="18"/>
      <c r="L534" s="88">
        <f>SUM(F534:K534)</f>
        <v>401685.71</v>
      </c>
      <c r="M534" s="8"/>
      <c r="N534" s="264"/>
    </row>
    <row r="535" spans="1:14" s="3" customFormat="1" ht="12.2" customHeight="1" thickTop="1" x14ac:dyDescent="0.15">
      <c r="A535" s="139" t="s">
        <v>67</v>
      </c>
      <c r="B535" s="107">
        <v>21</v>
      </c>
      <c r="C535" s="107">
        <v>12</v>
      </c>
      <c r="D535" s="158" t="s">
        <v>432</v>
      </c>
      <c r="E535" s="107"/>
      <c r="F535" s="89">
        <f>SUM(F532:F534)</f>
        <v>543152.10000000009</v>
      </c>
      <c r="G535" s="89">
        <f t="shared" ref="G535:L535" si="38">SUM(G532:G534)</f>
        <v>243317.57</v>
      </c>
      <c r="H535" s="89">
        <f t="shared" si="38"/>
        <v>0</v>
      </c>
      <c r="I535" s="89">
        <f t="shared" si="38"/>
        <v>0</v>
      </c>
      <c r="J535" s="89">
        <f t="shared" si="38"/>
        <v>0</v>
      </c>
      <c r="K535" s="89">
        <f t="shared" si="38"/>
        <v>0</v>
      </c>
      <c r="L535" s="89">
        <f t="shared" si="38"/>
        <v>786469.67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v>16709.89</v>
      </c>
      <c r="I538" s="18"/>
      <c r="J538" s="18"/>
      <c r="K538" s="18"/>
      <c r="L538" s="88">
        <f>SUM(F538:K538)</f>
        <v>16709.89</v>
      </c>
      <c r="M538" s="8"/>
      <c r="N538" s="264"/>
    </row>
    <row r="539" spans="1:14" s="3" customFormat="1" ht="12.2" customHeight="1" thickBot="1" x14ac:dyDescent="0.2">
      <c r="A539" s="22" t="s">
        <v>635</v>
      </c>
      <c r="B539" s="105">
        <v>21</v>
      </c>
      <c r="C539" s="105">
        <v>15</v>
      </c>
      <c r="D539" s="2" t="s">
        <v>432</v>
      </c>
      <c r="E539" s="105"/>
      <c r="F539" s="18"/>
      <c r="G539" s="18"/>
      <c r="H539" s="18">
        <v>17849.650000000001</v>
      </c>
      <c r="I539" s="18"/>
      <c r="J539" s="18"/>
      <c r="K539" s="18"/>
      <c r="L539" s="88">
        <f>SUM(F539:K539)</f>
        <v>17849.650000000001</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34559.54</v>
      </c>
      <c r="I540" s="89">
        <f t="shared" si="39"/>
        <v>0</v>
      </c>
      <c r="J540" s="89">
        <f t="shared" si="39"/>
        <v>0</v>
      </c>
      <c r="K540" s="89">
        <f t="shared" si="39"/>
        <v>0</v>
      </c>
      <c r="L540" s="89">
        <f t="shared" si="39"/>
        <v>34559.54</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v>267489.40000000002</v>
      </c>
      <c r="I543" s="18"/>
      <c r="J543" s="18"/>
      <c r="K543" s="18"/>
      <c r="L543" s="88">
        <f>SUM(F543:K543)</f>
        <v>267489.40000000002</v>
      </c>
      <c r="M543" s="8"/>
      <c r="N543" s="264"/>
    </row>
    <row r="544" spans="1:14" s="3" customFormat="1" ht="12.2" customHeight="1" thickBot="1" x14ac:dyDescent="0.2">
      <c r="A544" s="22" t="s">
        <v>635</v>
      </c>
      <c r="B544" s="105">
        <v>21</v>
      </c>
      <c r="C544" s="105">
        <v>19</v>
      </c>
      <c r="D544" s="2" t="s">
        <v>432</v>
      </c>
      <c r="E544" s="105"/>
      <c r="F544" s="18"/>
      <c r="G544" s="18"/>
      <c r="H544" s="18">
        <v>307957.5</v>
      </c>
      <c r="I544" s="18"/>
      <c r="J544" s="18"/>
      <c r="K544" s="18"/>
      <c r="L544" s="88">
        <f>SUM(F544:K544)</f>
        <v>307957.5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575446.9</v>
      </c>
      <c r="I545" s="193">
        <f t="shared" si="40"/>
        <v>0</v>
      </c>
      <c r="J545" s="193">
        <f t="shared" si="40"/>
        <v>0</v>
      </c>
      <c r="K545" s="193">
        <f t="shared" si="40"/>
        <v>0</v>
      </c>
      <c r="L545" s="193">
        <f t="shared" si="40"/>
        <v>575446.9</v>
      </c>
      <c r="M545" s="8"/>
      <c r="N545" s="264"/>
    </row>
    <row r="546" spans="1:14" s="3" customFormat="1" ht="12.2" customHeight="1" thickTop="1" x14ac:dyDescent="0.15">
      <c r="A546" s="98" t="s">
        <v>72</v>
      </c>
      <c r="B546" s="107">
        <v>21</v>
      </c>
      <c r="C546" s="107">
        <v>21</v>
      </c>
      <c r="D546" s="158" t="s">
        <v>432</v>
      </c>
      <c r="E546" s="107"/>
      <c r="F546" s="89">
        <f>F525+F530+F535+F540+F545</f>
        <v>7759797.7199999988</v>
      </c>
      <c r="G546" s="89">
        <f t="shared" ref="G546:L546" si="41">G525+G530+G535+G540+G545</f>
        <v>3476181.1599999997</v>
      </c>
      <c r="H546" s="89">
        <f t="shared" si="41"/>
        <v>2951515.08</v>
      </c>
      <c r="I546" s="89">
        <f t="shared" si="41"/>
        <v>97145.669999999984</v>
      </c>
      <c r="J546" s="89">
        <f t="shared" si="41"/>
        <v>37049.770000000004</v>
      </c>
      <c r="K546" s="89">
        <f t="shared" si="41"/>
        <v>807</v>
      </c>
      <c r="L546" s="89">
        <f t="shared" si="41"/>
        <v>14322496.4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4"/>
    </row>
    <row r="551" spans="1:14" s="3" customFormat="1" ht="12.2" customHeight="1" x14ac:dyDescent="0.15">
      <c r="A551" s="22" t="s">
        <v>634</v>
      </c>
      <c r="B551" s="75">
        <v>21</v>
      </c>
      <c r="C551" s="75">
        <v>23</v>
      </c>
      <c r="D551" s="2" t="s">
        <v>432</v>
      </c>
      <c r="E551" s="75"/>
      <c r="F551" s="87">
        <f>L523</f>
        <v>3934333.39</v>
      </c>
      <c r="G551" s="87">
        <f>L528</f>
        <v>1923305.35</v>
      </c>
      <c r="H551" s="87">
        <f>L533</f>
        <v>384783.96</v>
      </c>
      <c r="I551" s="87">
        <f>L538</f>
        <v>16709.89</v>
      </c>
      <c r="J551" s="87">
        <f>L543</f>
        <v>267489.40000000002</v>
      </c>
      <c r="K551" s="87">
        <f>SUM(F551:J551)</f>
        <v>6526621.9900000002</v>
      </c>
      <c r="L551" s="24" t="s">
        <v>288</v>
      </c>
      <c r="M551" s="8"/>
      <c r="N551" s="264"/>
    </row>
    <row r="552" spans="1:14" s="3" customFormat="1" ht="12.2" customHeight="1" thickBot="1" x14ac:dyDescent="0.2">
      <c r="A552" s="22" t="s">
        <v>635</v>
      </c>
      <c r="B552" s="75">
        <v>21</v>
      </c>
      <c r="C552" s="75">
        <v>24</v>
      </c>
      <c r="D552" s="2" t="s">
        <v>432</v>
      </c>
      <c r="E552" s="75"/>
      <c r="F552" s="87">
        <f>L524</f>
        <v>4728093.0600000005</v>
      </c>
      <c r="G552" s="87">
        <f>L529</f>
        <v>2340288.4899999998</v>
      </c>
      <c r="H552" s="87">
        <f>L534</f>
        <v>401685.71</v>
      </c>
      <c r="I552" s="87">
        <f>L539</f>
        <v>17849.650000000001</v>
      </c>
      <c r="J552" s="87">
        <f>L544</f>
        <v>307957.5</v>
      </c>
      <c r="K552" s="87">
        <f>SUM(F552:J552)</f>
        <v>7795874.4100000011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8662426.4500000011</v>
      </c>
      <c r="G553" s="89">
        <f t="shared" si="42"/>
        <v>4263593.84</v>
      </c>
      <c r="H553" s="89">
        <f t="shared" si="42"/>
        <v>786469.67</v>
      </c>
      <c r="I553" s="89">
        <f t="shared" si="42"/>
        <v>34559.54</v>
      </c>
      <c r="J553" s="89">
        <f t="shared" si="42"/>
        <v>575446.9</v>
      </c>
      <c r="K553" s="89">
        <f t="shared" si="42"/>
        <v>14322496.400000002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v>49481.37</v>
      </c>
      <c r="G564" s="18">
        <v>22166.33</v>
      </c>
      <c r="H564" s="18"/>
      <c r="I564" s="18"/>
      <c r="J564" s="18"/>
      <c r="K564" s="18"/>
      <c r="L564" s="88">
        <f>SUM(F564:K564)</f>
        <v>71647.700000000012</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49481.37</v>
      </c>
      <c r="G566" s="89">
        <f t="shared" si="44"/>
        <v>22166.33</v>
      </c>
      <c r="H566" s="89">
        <f t="shared" si="44"/>
        <v>0</v>
      </c>
      <c r="I566" s="89">
        <f t="shared" si="44"/>
        <v>0</v>
      </c>
      <c r="J566" s="89">
        <f t="shared" si="44"/>
        <v>0</v>
      </c>
      <c r="K566" s="89">
        <f t="shared" si="44"/>
        <v>0</v>
      </c>
      <c r="L566" s="89">
        <f t="shared" si="44"/>
        <v>71647.700000000012</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49481.37</v>
      </c>
      <c r="G572" s="89">
        <f t="shared" ref="G572:L572" si="46">G561+G566+G571</f>
        <v>22166.33</v>
      </c>
      <c r="H572" s="89">
        <f t="shared" si="46"/>
        <v>0</v>
      </c>
      <c r="I572" s="89">
        <f t="shared" si="46"/>
        <v>0</v>
      </c>
      <c r="J572" s="89">
        <f t="shared" si="46"/>
        <v>0</v>
      </c>
      <c r="K572" s="89">
        <f t="shared" si="46"/>
        <v>0</v>
      </c>
      <c r="L572" s="89">
        <f t="shared" si="46"/>
        <v>71647.700000000012</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v>375339.06</v>
      </c>
      <c r="H583" s="18">
        <v>1112726.8600000001</v>
      </c>
      <c r="I583" s="87">
        <f t="shared" si="47"/>
        <v>1488065.9200000002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c r="I592" s="18">
        <v>549558.42000000004</v>
      </c>
      <c r="J592" s="18">
        <v>785810.47</v>
      </c>
      <c r="K592" s="104">
        <f t="shared" ref="K592:K598" si="48">SUM(H592:J592)</f>
        <v>1335368.8900000001</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v>267489.40000000002</v>
      </c>
      <c r="J593" s="18">
        <v>307957.5</v>
      </c>
      <c r="K593" s="104">
        <f t="shared" si="48"/>
        <v>575446.9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31872.400000000001</v>
      </c>
      <c r="K594" s="104">
        <f t="shared" si="48"/>
        <v>31872.400000000001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1660.7</v>
      </c>
      <c r="J595" s="18">
        <v>64709.29</v>
      </c>
      <c r="K595" s="104">
        <f t="shared" si="48"/>
        <v>66369.990000000005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818708.52</v>
      </c>
      <c r="J599" s="108">
        <f>SUM(J592:J598)</f>
        <v>1190349.6599999999</v>
      </c>
      <c r="K599" s="108">
        <f>SUM(K592:K598)</f>
        <v>2009058.18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c r="I605" s="18">
        <v>241323.91</v>
      </c>
      <c r="J605" s="18">
        <v>522721.27</v>
      </c>
      <c r="K605" s="104">
        <f>SUM(H605:J605)</f>
        <v>764045.18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241323.91</v>
      </c>
      <c r="J606" s="108">
        <f>SUM(J603:J605)</f>
        <v>522721.27</v>
      </c>
      <c r="K606" s="108">
        <f>SUM(K603:K605)</f>
        <v>764045.18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v>71352.710000000006</v>
      </c>
      <c r="G613" s="18"/>
      <c r="H613" s="18"/>
      <c r="I613" s="18"/>
      <c r="J613" s="18"/>
      <c r="K613" s="18"/>
      <c r="L613" s="88">
        <f>SUM(F613:K613)</f>
        <v>71352.710000000006</v>
      </c>
      <c r="M613" s="8"/>
      <c r="N613" s="264"/>
    </row>
    <row r="614" spans="1:14" s="3" customFormat="1" ht="12.2" customHeight="1" thickBot="1" x14ac:dyDescent="0.2">
      <c r="A614" s="22" t="s">
        <v>645</v>
      </c>
      <c r="B614" s="75">
        <v>23</v>
      </c>
      <c r="C614" s="75">
        <v>15</v>
      </c>
      <c r="D614" s="2" t="s">
        <v>432</v>
      </c>
      <c r="E614" s="75"/>
      <c r="F614" s="18">
        <v>86023.92</v>
      </c>
      <c r="G614" s="18"/>
      <c r="H614" s="18">
        <v>6180.76</v>
      </c>
      <c r="I614" s="18"/>
      <c r="J614" s="18"/>
      <c r="K614" s="18"/>
      <c r="L614" s="88">
        <f>SUM(F614:K614)</f>
        <v>92204.68</v>
      </c>
      <c r="M614" s="8"/>
      <c r="N614" s="264"/>
    </row>
    <row r="615" spans="1:14" s="3" customFormat="1" ht="12.2" customHeight="1" thickTop="1" x14ac:dyDescent="0.15">
      <c r="A615" s="98" t="s">
        <v>340</v>
      </c>
      <c r="B615" s="107">
        <v>23</v>
      </c>
      <c r="C615" s="107">
        <v>16</v>
      </c>
      <c r="D615" s="39" t="s">
        <v>432</v>
      </c>
      <c r="E615" s="107"/>
      <c r="F615" s="108">
        <f t="shared" ref="F615:L615" si="49">SUM(F612:F614)</f>
        <v>157376.63</v>
      </c>
      <c r="G615" s="108">
        <f t="shared" si="49"/>
        <v>0</v>
      </c>
      <c r="H615" s="108">
        <f t="shared" si="49"/>
        <v>6180.76</v>
      </c>
      <c r="I615" s="108">
        <f t="shared" si="49"/>
        <v>0</v>
      </c>
      <c r="J615" s="108">
        <f t="shared" si="49"/>
        <v>0</v>
      </c>
      <c r="K615" s="108">
        <f t="shared" si="49"/>
        <v>0</v>
      </c>
      <c r="L615" s="89">
        <f t="shared" si="49"/>
        <v>163557.39000000001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7647370.4500000002</v>
      </c>
      <c r="H618" s="109">
        <f>SUM(F52)</f>
        <v>7647370.4499999993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311472.88</v>
      </c>
      <c r="H619" s="109">
        <f>SUM(G52)</f>
        <v>311472.88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555935.92000000004</v>
      </c>
      <c r="H620" s="109">
        <f>SUM(H52)</f>
        <v>555935.92000000004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4317872.6100000003</v>
      </c>
      <c r="H621" s="109">
        <f>SUM(I52)</f>
        <v>4317872.6100000003</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1972895.96</v>
      </c>
      <c r="H622" s="109">
        <f>SUM(J52)</f>
        <v>1972895.96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6006939.1299999999</v>
      </c>
      <c r="H623" s="109">
        <f>F477</f>
        <v>6006939.1300000027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267367.05</v>
      </c>
      <c r="H624" s="109">
        <f>G477</f>
        <v>267367.05000000005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554105.13</v>
      </c>
      <c r="H625" s="109">
        <f>H477</f>
        <v>554105.12999999989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4167349.45</v>
      </c>
      <c r="H626" s="109">
        <f>I477</f>
        <v>4167349.4499999993</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1972895.96</v>
      </c>
      <c r="H627" s="109">
        <f>J477</f>
        <v>1972895.96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62462568.380000003</v>
      </c>
      <c r="H628" s="104">
        <f>SUM(F469)</f>
        <v>62462568.380000003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689429.52999999991</v>
      </c>
      <c r="H629" s="104">
        <f>SUM(G469)</f>
        <v>689429.53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1868935.7</v>
      </c>
      <c r="H630" s="104">
        <f>SUM(H469)</f>
        <v>1868935.7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20733.78</v>
      </c>
      <c r="H631" s="104">
        <f>SUM(I469)</f>
        <v>20733.78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5489.05</v>
      </c>
      <c r="H632" s="104">
        <f>SUM(J469)</f>
        <v>5489.05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59741609.969999999</v>
      </c>
      <c r="H633" s="104">
        <f>SUM(F473)</f>
        <v>59741609.969999999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1833608.19</v>
      </c>
      <c r="H634" s="104">
        <f>SUM(H473)</f>
        <v>1833608.19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328997.29000000004</v>
      </c>
      <c r="H635" s="104">
        <f>I370</f>
        <v>328997.29000000004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749008.08000000007</v>
      </c>
      <c r="H636" s="104">
        <f>SUM(G473)</f>
        <v>749008.08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11931862.910000002</v>
      </c>
      <c r="H637" s="104">
        <f>SUM(I473)</f>
        <v>11931862.91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5489.0499999999993</v>
      </c>
      <c r="H638" s="164">
        <f>SUM(J469)</f>
        <v>5489.05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255100</v>
      </c>
      <c r="H639" s="164">
        <f>SUM(J473)</f>
        <v>255100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412176.5</v>
      </c>
      <c r="H640" s="104">
        <f>SUM(F462)</f>
        <v>412176.5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1560719.46</v>
      </c>
      <c r="H641" s="104">
        <f>SUM(G462)</f>
        <v>1560719.46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1972895.96</v>
      </c>
      <c r="H643" s="104">
        <f>SUM(I462)</f>
        <v>1972895.96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3643.73</v>
      </c>
      <c r="H645" s="104">
        <f>H409</f>
        <v>3643.73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5489.05</v>
      </c>
      <c r="H647" s="104">
        <f>L409</f>
        <v>5489.0499999999993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2009058.18</v>
      </c>
      <c r="H648" s="104">
        <f>L209+L227+L245</f>
        <v>2009058.18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764045.18</v>
      </c>
      <c r="H649" s="104">
        <f>(J258+J339)-(J256+J337)</f>
        <v>764045.18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818708.52</v>
      </c>
      <c r="H651" s="104">
        <f>I599</f>
        <v>818708.52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1190349.6599999999</v>
      </c>
      <c r="H652" s="104">
        <f>J599</f>
        <v>1190349.6599999999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0</v>
      </c>
      <c r="G661" s="19">
        <f>(L230+L310+L360)</f>
        <v>22811082.749999996</v>
      </c>
      <c r="H661" s="19">
        <f>(L248+L329+L361)</f>
        <v>34066885.549999997</v>
      </c>
      <c r="I661" s="19">
        <f>SUM(F661:H661)</f>
        <v>56877968.299999997</v>
      </c>
      <c r="J661" s="13"/>
      <c r="K661" s="13"/>
      <c r="L661" s="13"/>
      <c r="M661" s="9"/>
    </row>
    <row r="662" spans="1:13" s="3" customFormat="1" ht="12.2" customHeight="1" x14ac:dyDescent="0.2">
      <c r="A662" s="1" t="s">
        <v>127</v>
      </c>
      <c r="F662" s="19">
        <f>(L359/IF(SUM(L359:L361)=0,1,SUM(L359:L361))*(SUM(G97:G110)))</f>
        <v>0</v>
      </c>
      <c r="G662" s="19">
        <f>(L360/IF(SUM(L359:L361)=0,1,SUM(L359:L361))*(SUM(G97:G110)))</f>
        <v>3349.757850356968</v>
      </c>
      <c r="H662" s="19">
        <f>(L361/IF(SUM(L359:L361)=0,1,SUM(L359:L361))*(SUM(G97:G110)))</f>
        <v>41172.262149643037</v>
      </c>
      <c r="I662" s="19">
        <f>SUM(F662:H662)</f>
        <v>44522.020000000004</v>
      </c>
      <c r="J662"/>
      <c r="K662" s="13"/>
      <c r="L662" s="13"/>
      <c r="M662" s="8"/>
    </row>
    <row r="663" spans="1:13" s="3" customFormat="1" ht="12.2" customHeight="1" x14ac:dyDescent="0.2">
      <c r="A663" s="1" t="s">
        <v>128</v>
      </c>
      <c r="F663" s="19">
        <f>(L209+L288)-(J209+J288)</f>
        <v>0</v>
      </c>
      <c r="G663" s="19">
        <f>(L227+L307)-(J227+J307)</f>
        <v>818708.52</v>
      </c>
      <c r="H663" s="19">
        <f>(L245+L326)-(J245+J326)</f>
        <v>1190349.6599999999</v>
      </c>
      <c r="I663" s="19">
        <f>SUM(F663:H663)</f>
        <v>2009058.18</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688015.67999999993</v>
      </c>
      <c r="H664" s="199">
        <f>SUM(H576:H588)+SUM(J603:J605)+L614</f>
        <v>1727652.81</v>
      </c>
      <c r="I664" s="19">
        <f>SUM(F664:H664)</f>
        <v>2415668.4900000002</v>
      </c>
      <c r="J664" s="13"/>
      <c r="K664" s="13"/>
      <c r="L664" s="13"/>
      <c r="M664" s="9"/>
    </row>
    <row r="665" spans="1:13" s="3" customFormat="1" ht="12.2" customHeight="1" x14ac:dyDescent="0.15">
      <c r="A665" s="1" t="s">
        <v>130</v>
      </c>
      <c r="F665" s="19">
        <f>F661-SUM(F662:F664)</f>
        <v>0</v>
      </c>
      <c r="G665" s="19">
        <f>G661-SUM(G662:G664)</f>
        <v>21301008.792149641</v>
      </c>
      <c r="H665" s="19">
        <f>H661-SUM(H662:H664)</f>
        <v>31107710.817850355</v>
      </c>
      <c r="I665" s="19">
        <f>I661-SUM(I662:I664)</f>
        <v>52408719.609999999</v>
      </c>
      <c r="J665" s="13"/>
      <c r="K665" s="13"/>
      <c r="L665" s="13"/>
      <c r="M665" s="8"/>
    </row>
    <row r="666" spans="1:13" s="3" customFormat="1" ht="12.2" customHeight="1" x14ac:dyDescent="0.25">
      <c r="A666" s="1" t="s">
        <v>131</v>
      </c>
      <c r="F666" s="360">
        <v>0</v>
      </c>
      <c r="G666" s="360">
        <v>1059.1600000000001</v>
      </c>
      <c r="H666" s="360">
        <v>1565.36</v>
      </c>
      <c r="I666" s="19">
        <f>SUM(F666:H666)</f>
        <v>2624.52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f>ROUND(G665/G666,2)</f>
        <v>20111.23</v>
      </c>
      <c r="H668" s="19">
        <f>ROUND(H665/H666,2)</f>
        <v>19872.560000000001</v>
      </c>
      <c r="I668" s="19">
        <f>ROUND(I665/I666,2)</f>
        <v>19968.88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98.34</v>
      </c>
      <c r="I671" s="19">
        <f>SUM(F671:H671)</f>
        <v>98.34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f>ROUND((G665+G670)/(G666+G671),2)</f>
        <v>20111.23</v>
      </c>
      <c r="H673" s="19">
        <f>ROUND((H665+H670)/(H666+H671),2)</f>
        <v>18697.91</v>
      </c>
      <c r="I673" s="19">
        <f>ROUND((I665+I670)/(I666+I671),2)</f>
        <v>19247.669999999998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J27" sqref="J27"/>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190150.95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675227.83</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724266.18</v>
      </c>
      <c r="F22" s="346"/>
    </row>
    <row r="23" spans="2:8" x14ac:dyDescent="0.25">
      <c r="B23" s="346"/>
      <c r="C23" s="346"/>
      <c r="D23" s="346"/>
      <c r="E23" s="346"/>
      <c r="F23" s="346"/>
    </row>
    <row r="24" spans="2:8" ht="26.25" customHeight="1" x14ac:dyDescent="0.25">
      <c r="B24" s="346"/>
      <c r="C24" s="348" t="s">
        <v>1661</v>
      </c>
      <c r="D24" s="346"/>
      <c r="E24" s="341">
        <v>362133.09</v>
      </c>
      <c r="F24" s="346"/>
    </row>
    <row r="25" spans="2:8" ht="18" x14ac:dyDescent="0.25">
      <c r="B25" s="346"/>
      <c r="C25" s="349"/>
      <c r="D25" s="346"/>
      <c r="E25" s="346"/>
      <c r="F25" s="346"/>
    </row>
    <row r="26" spans="2:8" ht="27.75" customHeight="1" x14ac:dyDescent="0.25">
      <c r="B26" s="346"/>
      <c r="C26" s="348" t="s">
        <v>1662</v>
      </c>
      <c r="D26" s="346"/>
      <c r="E26" s="341">
        <v>362133.09</v>
      </c>
      <c r="F26" s="346"/>
    </row>
    <row r="27" spans="2:8" x14ac:dyDescent="0.25">
      <c r="B27" s="346"/>
      <c r="C27" s="348"/>
      <c r="D27" s="346"/>
      <c r="E27" s="346"/>
      <c r="F27" s="346"/>
    </row>
    <row r="28" spans="2:8" ht="15.75" customHeight="1" x14ac:dyDescent="0.25">
      <c r="B28" s="346"/>
      <c r="C28" s="348" t="s">
        <v>1663</v>
      </c>
      <c r="D28" s="346"/>
      <c r="E28" s="342">
        <v>958.1</v>
      </c>
      <c r="F28" s="346"/>
    </row>
    <row r="29" spans="2:8" x14ac:dyDescent="0.25">
      <c r="B29" s="346"/>
      <c r="C29" s="346"/>
      <c r="D29" s="346"/>
      <c r="E29" s="346"/>
      <c r="F29" s="346"/>
    </row>
    <row r="30" spans="2:8" ht="16.5" customHeight="1" x14ac:dyDescent="0.25">
      <c r="B30" s="346"/>
      <c r="C30" s="348" t="s">
        <v>1664</v>
      </c>
      <c r="D30" s="346"/>
      <c r="E30" s="341">
        <v>140154.5</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Exeter Regional Coop</v>
      </c>
      <c r="C5" s="364"/>
      <c r="D5" s="364"/>
      <c r="E5" s="364"/>
      <c r="F5" s="364"/>
    </row>
    <row r="8" spans="1:9" ht="18" x14ac:dyDescent="0.25">
      <c r="A8" s="317" t="s">
        <v>1576</v>
      </c>
      <c r="F8" s="324" t="s">
        <v>1594</v>
      </c>
    </row>
    <row r="9" spans="1:9" ht="15" x14ac:dyDescent="0.2">
      <c r="A9" s="315" t="s">
        <v>1577</v>
      </c>
      <c r="B9" s="318">
        <f>'DOE25'!G97</f>
        <v>104.5</v>
      </c>
      <c r="F9" s="315" t="s">
        <v>1590</v>
      </c>
    </row>
    <row r="10" spans="1:9" ht="15" x14ac:dyDescent="0.2">
      <c r="A10" s="315" t="s">
        <v>1578</v>
      </c>
      <c r="B10" s="318">
        <f>'DOE25'!G112-'DOE25'!G97</f>
        <v>44417.520000000004</v>
      </c>
      <c r="F10" s="315" t="s">
        <v>1591</v>
      </c>
    </row>
    <row r="11" spans="1:9" ht="15" x14ac:dyDescent="0.2">
      <c r="A11" s="315" t="s">
        <v>1579</v>
      </c>
      <c r="B11" s="318">
        <f>'DOE25'!G140</f>
        <v>15350.43</v>
      </c>
      <c r="F11" s="315" t="s">
        <v>1592</v>
      </c>
    </row>
    <row r="12" spans="1:9" ht="15" x14ac:dyDescent="0.2">
      <c r="A12" s="315" t="s">
        <v>1580</v>
      </c>
      <c r="B12" s="318">
        <f>'DOE25'!G170</f>
        <v>629557.07999999996</v>
      </c>
      <c r="F12" s="315" t="s">
        <v>1593</v>
      </c>
    </row>
    <row r="13" spans="1:9" ht="15" x14ac:dyDescent="0.2">
      <c r="A13" s="315" t="s">
        <v>1581</v>
      </c>
      <c r="B13" s="318">
        <f>'DOE25'!G193-'DOE25'!G180</f>
        <v>0</v>
      </c>
      <c r="F13" s="315" t="s">
        <v>1603</v>
      </c>
    </row>
    <row r="14" spans="1:9" ht="18" x14ac:dyDescent="0.25">
      <c r="A14" s="317" t="s">
        <v>732</v>
      </c>
      <c r="B14" s="319">
        <f>SUM(B9:B13)</f>
        <v>689429.52999999991</v>
      </c>
    </row>
    <row r="16" spans="1:9" ht="18" x14ac:dyDescent="0.25">
      <c r="A16" s="317" t="s">
        <v>786</v>
      </c>
      <c r="F16" s="324" t="s">
        <v>1595</v>
      </c>
    </row>
    <row r="17" spans="1:6" ht="15" x14ac:dyDescent="0.2">
      <c r="A17" s="315" t="s">
        <v>1582</v>
      </c>
      <c r="B17" s="318">
        <f>'DOE25'!L363-'DOE25'!L362</f>
        <v>749008.08000000007</v>
      </c>
      <c r="F17" s="315" t="s">
        <v>1596</v>
      </c>
    </row>
    <row r="18" spans="1:6" ht="15" x14ac:dyDescent="0.2">
      <c r="A18" s="315" t="s">
        <v>1583</v>
      </c>
      <c r="B18" s="328"/>
      <c r="F18" s="324" t="s">
        <v>1620</v>
      </c>
    </row>
    <row r="19" spans="1:6" ht="18" x14ac:dyDescent="0.25">
      <c r="A19" s="317" t="s">
        <v>725</v>
      </c>
      <c r="B19" s="319">
        <f>SUM(B17:B18)</f>
        <v>749008.08000000007</v>
      </c>
    </row>
    <row r="21" spans="1:6" ht="18.75" thickBot="1" x14ac:dyDescent="0.3">
      <c r="A21" s="317" t="s">
        <v>1584</v>
      </c>
    </row>
    <row r="22" spans="1:6" ht="18.75" thickTop="1" x14ac:dyDescent="0.25">
      <c r="A22" s="317" t="s">
        <v>1585</v>
      </c>
      <c r="B22" s="323">
        <f>B14-B19</f>
        <v>-59578.550000000163</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326945.59999999998</v>
      </c>
      <c r="F31" s="315" t="s">
        <v>1600</v>
      </c>
    </row>
    <row r="33" spans="1:6" ht="15" x14ac:dyDescent="0.2">
      <c r="A33" s="315" t="s">
        <v>1629</v>
      </c>
      <c r="B33" s="318">
        <f>'DOE25'!G477</f>
        <v>267367.05000000005</v>
      </c>
      <c r="F33" s="315" t="s">
        <v>1601</v>
      </c>
    </row>
    <row r="36" spans="1:6" ht="15" x14ac:dyDescent="0.2">
      <c r="A36" s="315" t="s">
        <v>1587</v>
      </c>
      <c r="B36" s="329">
        <v>91633.8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Exeter Regional Coop</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14963877.949999999</v>
      </c>
      <c r="C9" s="229">
        <f>'DOE25'!G198+'DOE25'!G216+'DOE25'!G234+'DOE25'!G277+'DOE25'!G296+'DOE25'!G315</f>
        <v>6703415.8200000003</v>
      </c>
    </row>
    <row r="10" spans="1:3" x14ac:dyDescent="0.2">
      <c r="A10" t="s">
        <v>775</v>
      </c>
      <c r="B10" s="240">
        <v>14471329.34</v>
      </c>
      <c r="C10" s="240">
        <v>6482767.2599999998</v>
      </c>
    </row>
    <row r="11" spans="1:3" x14ac:dyDescent="0.2">
      <c r="A11" t="s">
        <v>776</v>
      </c>
      <c r="B11" s="240">
        <v>284315.42</v>
      </c>
      <c r="C11" s="240">
        <v>127365.68</v>
      </c>
    </row>
    <row r="12" spans="1:3" x14ac:dyDescent="0.2">
      <c r="A12" t="s">
        <v>777</v>
      </c>
      <c r="B12" s="240">
        <v>208233.19</v>
      </c>
      <c r="C12" s="240">
        <v>93282.880000000005</v>
      </c>
    </row>
    <row r="13" spans="1:3" x14ac:dyDescent="0.2">
      <c r="A13" t="str">
        <f>IF(B9=B13,IF(C9=C13,"Check Total OK","Check Total Error"),"Check Total Error")</f>
        <v>Check Total OK</v>
      </c>
      <c r="B13" s="231">
        <f>SUM(B10:B12)</f>
        <v>14963877.949999999</v>
      </c>
      <c r="C13" s="231">
        <f>SUM(C10:C12)</f>
        <v>6703415.8199999994</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5470815.2299999995</v>
      </c>
      <c r="C18" s="229">
        <f>'DOE25'!G199+'DOE25'!G217+'DOE25'!G235+'DOE25'!G278+'DOE25'!G297+'DOE25'!G316</f>
        <v>2367937.21</v>
      </c>
    </row>
    <row r="19" spans="1:3" x14ac:dyDescent="0.2">
      <c r="A19" t="s">
        <v>775</v>
      </c>
      <c r="B19" s="240">
        <v>2324406.94</v>
      </c>
      <c r="C19" s="240">
        <v>1006074.86</v>
      </c>
    </row>
    <row r="20" spans="1:3" x14ac:dyDescent="0.2">
      <c r="A20" t="s">
        <v>776</v>
      </c>
      <c r="B20" s="240">
        <v>2517358.69</v>
      </c>
      <c r="C20" s="240">
        <v>1089590.32</v>
      </c>
    </row>
    <row r="21" spans="1:3" x14ac:dyDescent="0.2">
      <c r="A21" t="s">
        <v>777</v>
      </c>
      <c r="B21" s="240">
        <v>629049.59999999998</v>
      </c>
      <c r="C21" s="240">
        <v>272272.03000000003</v>
      </c>
    </row>
    <row r="22" spans="1:3" x14ac:dyDescent="0.2">
      <c r="A22" t="str">
        <f>IF(B18=B22,IF(C18=C22,"Check Total OK","Check Total Error"),"Check Total Error")</f>
        <v>Check Total OK</v>
      </c>
      <c r="B22" s="231">
        <f>SUM(B19:B21)</f>
        <v>5470815.2299999995</v>
      </c>
      <c r="C22" s="231">
        <f>SUM(C19:C21)</f>
        <v>2367937.21</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1836808.41</v>
      </c>
      <c r="C27" s="234">
        <f>'DOE25'!G200+'DOE25'!G218+'DOE25'!G236+'DOE25'!G279+'DOE25'!G298+'DOE25'!G317</f>
        <v>810690.24</v>
      </c>
    </row>
    <row r="28" spans="1:3" x14ac:dyDescent="0.2">
      <c r="A28" t="s">
        <v>775</v>
      </c>
      <c r="B28" s="240">
        <v>1265146.3999999999</v>
      </c>
      <c r="C28" s="240">
        <v>558382.59</v>
      </c>
    </row>
    <row r="29" spans="1:3" x14ac:dyDescent="0.2">
      <c r="A29" t="s">
        <v>776</v>
      </c>
      <c r="B29" s="240">
        <v>173620.81</v>
      </c>
      <c r="C29" s="240">
        <v>76628.95</v>
      </c>
    </row>
    <row r="30" spans="1:3" x14ac:dyDescent="0.2">
      <c r="A30" t="s">
        <v>777</v>
      </c>
      <c r="B30" s="240">
        <v>398041.2</v>
      </c>
      <c r="C30" s="240">
        <v>175678.7</v>
      </c>
    </row>
    <row r="31" spans="1:3" x14ac:dyDescent="0.2">
      <c r="A31" t="str">
        <f>IF(B27=B31,IF(C27=C31,"Check Total OK","Check Total Error"),"Check Total Error")</f>
        <v>Check Total OK</v>
      </c>
      <c r="B31" s="231">
        <f>SUM(B28:B30)</f>
        <v>1836808.41</v>
      </c>
      <c r="C31" s="231">
        <f>SUM(C28:C30)</f>
        <v>810690.24</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615751.97</v>
      </c>
      <c r="C36" s="235">
        <f>'DOE25'!G201+'DOE25'!G219+'DOE25'!G237+'DOE25'!G280+'DOE25'!G299+'DOE25'!G318</f>
        <v>275410.21000000002</v>
      </c>
    </row>
    <row r="37" spans="1:3" x14ac:dyDescent="0.2">
      <c r="A37" t="s">
        <v>775</v>
      </c>
      <c r="B37" s="240">
        <v>615751.97</v>
      </c>
      <c r="C37" s="240">
        <v>275410.21000000002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615751.97</v>
      </c>
      <c r="C40" s="231">
        <f>SUM(C37:C39)</f>
        <v>275410.21000000002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R24" sqref="R2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Exeter Regional Coop</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35288559.359999999</v>
      </c>
      <c r="D5" s="20">
        <f>SUM('DOE25'!L198:L201)+SUM('DOE25'!L216:L219)+SUM('DOE25'!L234:L237)-F5-G5-H5</f>
        <v>35199771.68</v>
      </c>
      <c r="E5" s="243"/>
      <c r="F5" s="244"/>
      <c r="G5" s="53">
        <f>SUM('DOE25'!J198:J201)+SUM('DOE25'!J216:J219)+SUM('DOE25'!J234:J237)</f>
        <v>75392.180000000008</v>
      </c>
      <c r="H5" s="53">
        <f>SUM('DOE25'!K198:K201)+SUM('DOE25'!K216:K219)+SUM('DOE25'!K234:K237)</f>
        <v>13395.5</v>
      </c>
      <c r="I5" s="254"/>
    </row>
    <row r="6" spans="1:9" x14ac:dyDescent="0.2">
      <c r="A6" s="32">
        <v>2100</v>
      </c>
      <c r="B6" t="s">
        <v>796</v>
      </c>
      <c r="C6" s="273">
        <f t="shared" si="0"/>
        <v>4263593.84</v>
      </c>
      <c r="D6" s="20">
        <f>'DOE25'!L203+'DOE25'!L221+'DOE25'!L239-F6-G6-H6</f>
        <v>4184269.2399999998</v>
      </c>
      <c r="E6" s="243"/>
      <c r="F6" s="244">
        <v>78517.600000000006</v>
      </c>
      <c r="G6" s="53">
        <f>'DOE25'!J203+'DOE25'!J221+'DOE25'!J239</f>
        <v>0</v>
      </c>
      <c r="H6" s="53">
        <f>'DOE25'!K203+'DOE25'!K221+'DOE25'!K239</f>
        <v>807</v>
      </c>
      <c r="I6" s="254"/>
    </row>
    <row r="7" spans="1:9" x14ac:dyDescent="0.2">
      <c r="A7" s="32">
        <v>2200</v>
      </c>
      <c r="B7" t="s">
        <v>821</v>
      </c>
      <c r="C7" s="273">
        <f t="shared" si="0"/>
        <v>2434763.9500000002</v>
      </c>
      <c r="D7" s="20">
        <f>'DOE25'!L204+'DOE25'!L222+'DOE25'!L240-F7-G7-H7</f>
        <v>1916381.5000000002</v>
      </c>
      <c r="E7" s="243"/>
      <c r="F7" s="244"/>
      <c r="G7" s="53">
        <f>'DOE25'!J204+'DOE25'!J222+'DOE25'!J240</f>
        <v>496718.47000000003</v>
      </c>
      <c r="H7" s="53">
        <f>'DOE25'!K204+'DOE25'!K222+'DOE25'!K240</f>
        <v>21663.98</v>
      </c>
      <c r="I7" s="254"/>
    </row>
    <row r="8" spans="1:9" x14ac:dyDescent="0.2">
      <c r="A8" s="32">
        <v>2300</v>
      </c>
      <c r="B8" t="s">
        <v>797</v>
      </c>
      <c r="C8" s="273">
        <f t="shared" si="0"/>
        <v>1284650.23</v>
      </c>
      <c r="D8" s="243"/>
      <c r="E8" s="20">
        <f>'DOE25'!L205+'DOE25'!L223+'DOE25'!L241-F8-G8-H8-D9-D11</f>
        <v>1284650.23</v>
      </c>
      <c r="F8" s="244"/>
      <c r="G8" s="53">
        <f>'DOE25'!J205+'DOE25'!J223+'DOE25'!J241</f>
        <v>0</v>
      </c>
      <c r="H8" s="53">
        <f>'DOE25'!K205+'DOE25'!K223+'DOE25'!K241</f>
        <v>0</v>
      </c>
      <c r="I8" s="254"/>
    </row>
    <row r="9" spans="1:9" ht="14.25" x14ac:dyDescent="0.2">
      <c r="A9" s="32">
        <v>2310</v>
      </c>
      <c r="B9" s="185" t="s">
        <v>888</v>
      </c>
      <c r="C9" s="273">
        <f t="shared" si="0"/>
        <v>67536.92</v>
      </c>
      <c r="D9" s="244">
        <v>67536.92</v>
      </c>
      <c r="E9" s="243"/>
      <c r="F9" s="251"/>
      <c r="G9" s="251"/>
      <c r="H9" s="251"/>
      <c r="I9" s="254"/>
    </row>
    <row r="10" spans="1:9" ht="14.25" x14ac:dyDescent="0.2">
      <c r="A10" s="32">
        <v>2317</v>
      </c>
      <c r="B10" s="185" t="s">
        <v>889</v>
      </c>
      <c r="C10" s="273">
        <f t="shared" si="0"/>
        <v>20925</v>
      </c>
      <c r="D10" s="243"/>
      <c r="E10" s="244">
        <v>20925</v>
      </c>
      <c r="F10" s="251"/>
      <c r="G10" s="251"/>
      <c r="H10" s="251"/>
      <c r="I10" s="254"/>
    </row>
    <row r="11" spans="1:9" ht="14.25" x14ac:dyDescent="0.2">
      <c r="A11" s="32">
        <v>2321</v>
      </c>
      <c r="B11" s="185" t="s">
        <v>890</v>
      </c>
      <c r="C11" s="273">
        <f t="shared" si="0"/>
        <v>268607.21999999997</v>
      </c>
      <c r="D11" s="244">
        <v>268607.21999999997</v>
      </c>
      <c r="E11" s="243"/>
      <c r="F11" s="251"/>
      <c r="G11" s="251"/>
      <c r="H11" s="251"/>
      <c r="I11" s="254"/>
    </row>
    <row r="12" spans="1:9" x14ac:dyDescent="0.2">
      <c r="A12" s="32">
        <v>2400</v>
      </c>
      <c r="B12" t="s">
        <v>711</v>
      </c>
      <c r="C12" s="273">
        <f t="shared" si="0"/>
        <v>2498684.7400000002</v>
      </c>
      <c r="D12" s="20">
        <f>'DOE25'!L206+'DOE25'!L224+'DOE25'!L242-F12-G12-H12</f>
        <v>2482365.35</v>
      </c>
      <c r="E12" s="243"/>
      <c r="F12" s="244"/>
      <c r="G12" s="53">
        <f>'DOE25'!J206+'DOE25'!J224+'DOE25'!J242</f>
        <v>4856.4799999999996</v>
      </c>
      <c r="H12" s="53">
        <f>'DOE25'!K206+'DOE25'!K224+'DOE25'!K242</f>
        <v>11462.91</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6515922.5299999993</v>
      </c>
      <c r="D14" s="20">
        <f>'DOE25'!L208+'DOE25'!L226+'DOE25'!L244-F14-G14-H14</f>
        <v>6236470.9699999997</v>
      </c>
      <c r="E14" s="243"/>
      <c r="F14" s="244">
        <v>267213.75</v>
      </c>
      <c r="G14" s="53">
        <f>'DOE25'!J208+'DOE25'!J226+'DOE25'!J244</f>
        <v>12237.81</v>
      </c>
      <c r="H14" s="53">
        <f>'DOE25'!K208+'DOE25'!K226+'DOE25'!K244</f>
        <v>0</v>
      </c>
      <c r="I14" s="254"/>
    </row>
    <row r="15" spans="1:9" x14ac:dyDescent="0.2">
      <c r="A15" s="32">
        <v>2700</v>
      </c>
      <c r="B15" t="s">
        <v>799</v>
      </c>
      <c r="C15" s="273">
        <f t="shared" si="0"/>
        <v>2009058.18</v>
      </c>
      <c r="D15" s="20">
        <f>'DOE25'!L209+'DOE25'!L227+'DOE25'!L245-F15-G15-H15</f>
        <v>656556.31999999983</v>
      </c>
      <c r="E15" s="243"/>
      <c r="F15" s="244">
        <v>1352501.86</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229181.24</v>
      </c>
      <c r="D17" s="20">
        <f>'DOE25'!L252-F17-G17-H17</f>
        <v>229181.24</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4601051.76</v>
      </c>
      <c r="D25" s="243"/>
      <c r="E25" s="243"/>
      <c r="F25" s="253"/>
      <c r="G25" s="251"/>
      <c r="H25" s="251"/>
      <c r="I25" s="252">
        <f>'DOE25'!L261+'DOE25'!L262+'DOE25'!L342+'DOE25'!L343</f>
        <v>4601051.76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469449.68000000005</v>
      </c>
      <c r="D29" s="281">
        <f>'DOE25'!L359+'DOE25'!L360+'DOE25'!L361-'DOE25'!I368-F29-G29-H29</f>
        <v>464608.04000000004</v>
      </c>
      <c r="E29" s="243"/>
      <c r="F29" s="244"/>
      <c r="G29" s="53">
        <f>'DOE25'!J359+'DOE25'!J360+'DOE25'!J361</f>
        <v>3699.24</v>
      </c>
      <c r="H29" s="53">
        <f>'DOE25'!K359+'DOE25'!K360+'DOE25'!K361</f>
        <v>1142.4000000000001</v>
      </c>
      <c r="I29" s="254"/>
    </row>
    <row r="30" spans="1:9" x14ac:dyDescent="0.2">
      <c r="A30" s="32"/>
      <c r="C30" s="274"/>
      <c r="D30" s="20"/>
      <c r="E30" s="278"/>
      <c r="F30" s="268"/>
      <c r="G30" s="53"/>
      <c r="H30" s="53"/>
      <c r="I30" s="254"/>
    </row>
    <row r="31" spans="1:9" x14ac:dyDescent="0.2">
      <c r="A31" s="32" t="s">
        <v>818</v>
      </c>
      <c r="B31" t="s">
        <v>817</v>
      </c>
      <c r="C31" s="273">
        <f>SUM(D31:I31)</f>
        <v>1833608.19</v>
      </c>
      <c r="D31" s="20">
        <f>'DOE25'!L291+'DOE25'!L310+'DOE25'!L329+'DOE25'!L334+'DOE25'!L335+'DOE25'!L336-F31-G31-H31</f>
        <v>1364526.18</v>
      </c>
      <c r="E31" s="243"/>
      <c r="F31" s="244"/>
      <c r="G31" s="53">
        <f>'DOE25'!J291+'DOE25'!J310+'DOE25'!J329+'DOE25'!J334+'DOE25'!J335+'DOE25'!J336</f>
        <v>174840.24</v>
      </c>
      <c r="H31" s="53">
        <f>'DOE25'!K291+'DOE25'!K310+'DOE25'!K329+'DOE25'!K334+'DOE25'!K335+'DOE25'!K336</f>
        <v>294241.77</v>
      </c>
      <c r="I31" s="254"/>
    </row>
    <row r="32" spans="1:9" ht="12" thickBot="1" x14ac:dyDescent="0.25">
      <c r="C32" s="274"/>
      <c r="G32" s="249"/>
      <c r="H32" s="249"/>
      <c r="I32" s="256"/>
    </row>
    <row r="33" spans="1:9" ht="12" thickTop="1" x14ac:dyDescent="0.2">
      <c r="B33" t="s">
        <v>809</v>
      </c>
      <c r="D33" s="245">
        <f t="shared" ref="D33:I33" si="1">SUM(D5:D31)</f>
        <v>53070274.660000004</v>
      </c>
      <c r="E33" s="245">
        <f t="shared" si="1"/>
        <v>1305575.23</v>
      </c>
      <c r="F33" s="245">
        <f t="shared" si="1"/>
        <v>1698233.21</v>
      </c>
      <c r="G33" s="245">
        <f t="shared" si="1"/>
        <v>767744.42</v>
      </c>
      <c r="H33" s="245">
        <f t="shared" si="1"/>
        <v>342713.56</v>
      </c>
      <c r="I33" s="245">
        <f t="shared" si="1"/>
        <v>4601051.76</v>
      </c>
    </row>
    <row r="35" spans="1:9" ht="12" thickBot="1" x14ac:dyDescent="0.25">
      <c r="B35" s="249" t="s">
        <v>831</v>
      </c>
      <c r="D35" s="250">
        <f>E33</f>
        <v>1305575.23</v>
      </c>
      <c r="E35" s="246"/>
      <c r="F35" s="333" t="s">
        <v>1632</v>
      </c>
      <c r="G35" s="334"/>
      <c r="H35" s="334"/>
      <c r="I35" s="334"/>
    </row>
    <row r="36" spans="1:9" ht="12" thickTop="1" x14ac:dyDescent="0.2">
      <c r="B36" t="s">
        <v>810</v>
      </c>
      <c r="D36" s="20">
        <f>D33</f>
        <v>53070274.660000004</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8" sqref="A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Exeter Regional Coop</v>
      </c>
      <c r="B2" s="126">
        <f>'DOE25'!B2</f>
        <v>172</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0</v>
      </c>
      <c r="G4" s="300">
        <f>'DOE25'!L212+'DOE25'!L291</f>
        <v>0</v>
      </c>
      <c r="H4" s="353">
        <f>F4-G4</f>
        <v>0</v>
      </c>
      <c r="I4" s="372" t="str">
        <f>IF(H4=0,"","ISSUES!! Please review page 7 and 11 totals in comparison with total on this page")</f>
        <v/>
      </c>
      <c r="N4"/>
    </row>
    <row r="5" spans="1:18" x14ac:dyDescent="0.2">
      <c r="A5" s="21"/>
      <c r="B5" s="301" t="str">
        <f>IFERROR(VLOOKUP(A5,'School Tables'!$C$3:$D$365,2,FALSE),"")</f>
        <v/>
      </c>
      <c r="C5" s="294" t="str">
        <f>IFERROR(INDEX('School Tables'!$B$3:$B$365,MATCH('School Level Expenditures'!B5,'School Tables'!$D$3:$D$365,0)),"")</f>
        <v/>
      </c>
      <c r="D5" s="291"/>
      <c r="E5" s="291"/>
      <c r="F5" s="304">
        <f>D5+E5</f>
        <v>0</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0</v>
      </c>
      <c r="E21" s="351">
        <f>SUM(E5:E20)</f>
        <v>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22754728.709999997</v>
      </c>
      <c r="G24" s="300">
        <f>'DOE25'!L230+'DOE25'!L310</f>
        <v>22754728.709999997</v>
      </c>
      <c r="H24" s="353">
        <f>F24-G24</f>
        <v>0</v>
      </c>
      <c r="I24" s="372" t="str">
        <f>IF(H24=0,"","ISSUES!! Please review page 8 and 12 totals in comparison with total on this page")</f>
        <v/>
      </c>
      <c r="N24"/>
    </row>
    <row r="25" spans="1:14" x14ac:dyDescent="0.2">
      <c r="A25" s="21" t="s">
        <v>1030</v>
      </c>
      <c r="B25" s="301">
        <f>IFERROR(VLOOKUP(A25,'School Tables'!$I$3:$J$80,2,FALSE),"")</f>
        <v>20590</v>
      </c>
      <c r="C25" s="294" t="str">
        <f t="array" ref="C25">IFERROR(INDEX('School Tables'!$H$3:$H$80,MATCH('School Level Expenditures'!B25,'School Tables'!$J$3:$J$80,0)),"")</f>
        <v>Exeter Region Cooperative</v>
      </c>
      <c r="D25" s="291">
        <v>22249821.149999999</v>
      </c>
      <c r="E25" s="291">
        <v>504907.56</v>
      </c>
      <c r="F25" s="304">
        <f>D25+E25</f>
        <v>22754728.709999997</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22249821.149999999</v>
      </c>
      <c r="E33" s="351">
        <f>SUM(E25:E32)</f>
        <v>504907.56</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33374231.510000002</v>
      </c>
      <c r="G36" s="300">
        <f>'DOE25'!L248+'DOE25'!L329</f>
        <v>33374231.509999998</v>
      </c>
      <c r="H36" s="353">
        <f>F36-G36</f>
        <v>0</v>
      </c>
      <c r="I36" s="372" t="str">
        <f>IF(H36=0,"","ISSUES!! Please review page 9 and 13 totals in comparison with total on this page")</f>
        <v/>
      </c>
      <c r="N36"/>
    </row>
    <row r="37" spans="1:14" x14ac:dyDescent="0.2">
      <c r="A37" s="21" t="s">
        <v>1031</v>
      </c>
      <c r="B37" s="301">
        <f>IFERROR(VLOOKUP(A37,'School Tables'!$O$3:$P$118,2,FALSE),"")</f>
        <v>20600</v>
      </c>
      <c r="C37" s="294" t="str">
        <f t="array" ref="C37">IFERROR(INDEX('School Tables'!$N$3:$N$118,MATCH('School Level Expenditures'!B37,'School Tables'!$P$3:$P$118,0)),"")</f>
        <v>Exeter Region Cooperative</v>
      </c>
      <c r="D37" s="291">
        <v>32381555.82</v>
      </c>
      <c r="E37" s="291">
        <v>992675.69</v>
      </c>
      <c r="F37" s="304">
        <f t="shared" ref="F37:F42" si="2">D37+E37</f>
        <v>33374231.510000002</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32381555.82</v>
      </c>
      <c r="E43" s="352">
        <f>SUM(E37:E42)</f>
        <v>992675.69</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Exeter Regional Coop</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635575.84</v>
      </c>
      <c r="D8" s="95">
        <f>'DOE25'!G9</f>
        <v>0.01</v>
      </c>
      <c r="E8" s="95">
        <f>'DOE25'!H9</f>
        <v>413178.63</v>
      </c>
      <c r="F8" s="95">
        <f>'DOE25'!I9</f>
        <v>4317872.6100000003</v>
      </c>
      <c r="G8" s="95">
        <f>'DOE25'!J9</f>
        <v>1972895.96</v>
      </c>
      <c r="H8" s="124"/>
      <c r="I8" s="124"/>
    </row>
    <row r="9" spans="1:9" x14ac:dyDescent="0.2">
      <c r="A9" s="1" t="s">
        <v>140</v>
      </c>
      <c r="B9" s="6">
        <v>110</v>
      </c>
      <c r="C9" s="95">
        <f>'DOE25'!F10</f>
        <v>6266615.6100000003</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150543.16</v>
      </c>
      <c r="D11" s="95">
        <f>'DOE25'!G12</f>
        <v>41030.620000000003</v>
      </c>
      <c r="E11" s="95">
        <f>'DOE25'!H12</f>
        <v>142757.29</v>
      </c>
      <c r="F11" s="95" t="str">
        <f>'DOE25'!I12</f>
        <v>`</v>
      </c>
      <c r="G11" s="95">
        <f>'DOE25'!J12</f>
        <v>0</v>
      </c>
      <c r="H11" s="124"/>
      <c r="I11" s="124"/>
    </row>
    <row r="12" spans="1:9" x14ac:dyDescent="0.2">
      <c r="A12" s="1" t="s">
        <v>143</v>
      </c>
      <c r="B12" s="6">
        <v>140</v>
      </c>
      <c r="C12" s="95">
        <f>'DOE25'!F13</f>
        <v>99913.16</v>
      </c>
      <c r="D12" s="95">
        <f>'DOE25'!G13</f>
        <v>270442.25</v>
      </c>
      <c r="E12" s="95">
        <f>'DOE25'!H13</f>
        <v>0</v>
      </c>
      <c r="F12" s="95">
        <f>'DOE25'!I13</f>
        <v>0</v>
      </c>
      <c r="G12" s="95">
        <f>'DOE25'!J13</f>
        <v>0</v>
      </c>
      <c r="H12" s="124"/>
      <c r="I12" s="124"/>
    </row>
    <row r="13" spans="1:9" x14ac:dyDescent="0.2">
      <c r="A13" s="1" t="s">
        <v>144</v>
      </c>
      <c r="B13" s="6">
        <v>150</v>
      </c>
      <c r="C13" s="95">
        <f>'DOE25'!F14</f>
        <v>374722.68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120000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7647370.4500000002</v>
      </c>
      <c r="D18" s="41">
        <f>SUM(D8:D17)</f>
        <v>311472.88</v>
      </c>
      <c r="E18" s="41">
        <f>SUM(E8:E17)</f>
        <v>555935.92000000004</v>
      </c>
      <c r="F18" s="41">
        <f>SUM(F8:F17)</f>
        <v>4317872.6100000003</v>
      </c>
      <c r="G18" s="41">
        <f>SUM(G8:G17)</f>
        <v>1972895.96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183787.91</v>
      </c>
      <c r="D21" s="95">
        <f>'DOE25'!G22</f>
        <v>0</v>
      </c>
      <c r="E21" s="95">
        <f>'DOE25'!H22</f>
        <v>10</v>
      </c>
      <c r="F21" s="95">
        <f>'DOE25'!I22</f>
        <v>150523.16</v>
      </c>
      <c r="G21" s="95">
        <f>'DOE25'!J22</f>
        <v>0</v>
      </c>
      <c r="H21" s="124"/>
      <c r="I21" s="124"/>
    </row>
    <row r="22" spans="1:9" x14ac:dyDescent="0.2">
      <c r="A22" s="1" t="s">
        <v>151</v>
      </c>
      <c r="B22" s="6">
        <v>410</v>
      </c>
      <c r="C22" s="95">
        <f>'DOE25'!F23</f>
        <v>1051762.26</v>
      </c>
      <c r="D22" s="95">
        <f>'DOE25'!G23</f>
        <v>0</v>
      </c>
      <c r="E22" s="95">
        <f>'DOE25'!H23</f>
        <v>0</v>
      </c>
      <c r="F22" s="95">
        <f>'DOE25'!I23</f>
        <v>0</v>
      </c>
      <c r="G22" s="95">
        <f>'DOE25'!J23</f>
        <v>0</v>
      </c>
      <c r="H22" s="124"/>
      <c r="I22" s="124"/>
    </row>
    <row r="23" spans="1:9" x14ac:dyDescent="0.2">
      <c r="A23" s="1" t="s">
        <v>152</v>
      </c>
      <c r="B23" s="6">
        <v>420</v>
      </c>
      <c r="C23" s="95">
        <f>'DOE25'!F24</f>
        <v>27383.89</v>
      </c>
      <c r="D23" s="95">
        <f>'DOE25'!G24</f>
        <v>1202.94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296485.09000000003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42902.879999999997</v>
      </c>
      <c r="E29" s="95">
        <f>'DOE25'!H30</f>
        <v>0</v>
      </c>
      <c r="F29" s="95">
        <f>'DOE25'!I30</f>
        <v>0</v>
      </c>
      <c r="G29" s="24" t="s">
        <v>288</v>
      </c>
      <c r="H29" s="124"/>
      <c r="I29" s="124"/>
    </row>
    <row r="30" spans="1:9" ht="12" thickBot="1" x14ac:dyDescent="0.25">
      <c r="A30" s="1" t="s">
        <v>159</v>
      </c>
      <c r="B30" s="71">
        <v>490</v>
      </c>
      <c r="C30" s="95">
        <f>'DOE25'!F31</f>
        <v>81012.17</v>
      </c>
      <c r="D30" s="95">
        <f>'DOE25'!G31</f>
        <v>0.01</v>
      </c>
      <c r="E30" s="95">
        <f>'DOE25'!H31</f>
        <v>1820.79</v>
      </c>
      <c r="F30" s="95">
        <f>'DOE25'!I31</f>
        <v>0</v>
      </c>
      <c r="G30" s="95">
        <f>'DOE25'!J31</f>
        <v>0</v>
      </c>
      <c r="H30" s="124"/>
      <c r="I30" s="124"/>
    </row>
    <row r="31" spans="1:9" ht="12" thickTop="1" x14ac:dyDescent="0.2">
      <c r="A31" s="38" t="s">
        <v>160</v>
      </c>
      <c r="B31" s="2"/>
      <c r="C31" s="41">
        <f>SUM(C21:C30)</f>
        <v>1640431.3199999998</v>
      </c>
      <c r="D31" s="41">
        <f>SUM(D21:D30)</f>
        <v>44105.83</v>
      </c>
      <c r="E31" s="41">
        <f>SUM(E21:E30)</f>
        <v>1830.79</v>
      </c>
      <c r="F31" s="41">
        <f>SUM(F21:F30)</f>
        <v>150523.16</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267367.05</v>
      </c>
      <c r="E47" s="95">
        <f>'DOE25'!H48</f>
        <v>554105.13</v>
      </c>
      <c r="F47" s="95">
        <f>'DOE25'!I48</f>
        <v>4167349.45</v>
      </c>
      <c r="G47" s="95">
        <f>'DOE25'!J48</f>
        <v>1972895.96</v>
      </c>
      <c r="H47" s="124"/>
      <c r="I47" s="124"/>
    </row>
    <row r="48" spans="1:9" x14ac:dyDescent="0.2">
      <c r="A48" s="1" t="s">
        <v>882</v>
      </c>
      <c r="B48" s="6">
        <v>753</v>
      </c>
      <c r="C48" s="95">
        <f>'DOE25'!F49</f>
        <v>792573.05</v>
      </c>
      <c r="D48" s="95">
        <f>'DOE25'!G49</f>
        <v>0</v>
      </c>
      <c r="E48" s="95">
        <f>'DOE25'!H49</f>
        <v>0</v>
      </c>
      <c r="F48" s="95">
        <f>'DOE25'!I49</f>
        <v>0</v>
      </c>
      <c r="G48" s="95">
        <f>'DOE25'!J49</f>
        <v>0</v>
      </c>
      <c r="H48" s="124"/>
      <c r="I48" s="124"/>
    </row>
    <row r="49" spans="1:9" ht="12" thickBot="1" x14ac:dyDescent="0.25">
      <c r="A49" s="29" t="s">
        <v>883</v>
      </c>
      <c r="B49" s="71">
        <v>770</v>
      </c>
      <c r="C49" s="95">
        <f>'DOE25'!F50</f>
        <v>5214366.08</v>
      </c>
      <c r="D49" s="24" t="s">
        <v>288</v>
      </c>
      <c r="E49" s="24" t="s">
        <v>288</v>
      </c>
      <c r="F49" s="24" t="s">
        <v>288</v>
      </c>
      <c r="G49" s="24" t="s">
        <v>288</v>
      </c>
      <c r="H49" s="124"/>
      <c r="I49" s="124"/>
    </row>
    <row r="50" spans="1:9" ht="12.75" thickTop="1" thickBot="1" x14ac:dyDescent="0.25">
      <c r="A50" s="38" t="s">
        <v>884</v>
      </c>
      <c r="B50" s="48"/>
      <c r="C50" s="41">
        <f>SUM(C34:C49)</f>
        <v>6006939.1299999999</v>
      </c>
      <c r="D50" s="41">
        <f>SUM(D34:D49)</f>
        <v>267367.05</v>
      </c>
      <c r="E50" s="41">
        <f>SUM(E34:E49)</f>
        <v>554105.13</v>
      </c>
      <c r="F50" s="41">
        <f>SUM(F34:F49)</f>
        <v>4167349.45</v>
      </c>
      <c r="G50" s="41">
        <f>SUM(G34:G49)</f>
        <v>1972895.96</v>
      </c>
      <c r="H50" s="124"/>
      <c r="I50" s="124"/>
    </row>
    <row r="51" spans="1:9" ht="12" thickTop="1" x14ac:dyDescent="0.2">
      <c r="A51" s="38" t="s">
        <v>885</v>
      </c>
      <c r="B51" s="2"/>
      <c r="C51" s="41">
        <f>C50+C31</f>
        <v>7647370.4499999993</v>
      </c>
      <c r="D51" s="41">
        <f>D50+D31</f>
        <v>311472.88</v>
      </c>
      <c r="E51" s="41">
        <f>E50+E31</f>
        <v>555935.92000000004</v>
      </c>
      <c r="F51" s="41">
        <f>F50+F31</f>
        <v>4317872.6100000003</v>
      </c>
      <c r="G51" s="41">
        <f>G50+G31</f>
        <v>1972895.96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44950304</v>
      </c>
      <c r="D56" s="95">
        <f>'DOE25'!G60</f>
        <v>0</v>
      </c>
      <c r="E56" s="95">
        <f>'DOE25'!H60</f>
        <v>0</v>
      </c>
      <c r="F56" s="95">
        <f>'DOE25'!I60</f>
        <v>0</v>
      </c>
      <c r="G56" s="95">
        <f>'DOE25'!J60</f>
        <v>0</v>
      </c>
      <c r="H56"/>
      <c r="I56"/>
    </row>
    <row r="57" spans="1:9" x14ac:dyDescent="0.2">
      <c r="A57" s="1" t="s">
        <v>164</v>
      </c>
      <c r="B57" s="6" t="s">
        <v>165</v>
      </c>
      <c r="C57" s="95">
        <f>'DOE25'!F79</f>
        <v>1080824.68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14857.94</v>
      </c>
      <c r="D59" s="95">
        <f>'DOE25'!G96</f>
        <v>0</v>
      </c>
      <c r="E59" s="95">
        <f>'DOE25'!H96</f>
        <v>0</v>
      </c>
      <c r="F59" s="95">
        <f>'DOE25'!I96</f>
        <v>20733.78</v>
      </c>
      <c r="G59" s="95">
        <f>'DOE25'!J96</f>
        <v>3643.73</v>
      </c>
      <c r="H59"/>
      <c r="I59"/>
    </row>
    <row r="60" spans="1:9" x14ac:dyDescent="0.2">
      <c r="A60" s="1" t="s">
        <v>170</v>
      </c>
      <c r="B60" s="118" t="s">
        <v>171</v>
      </c>
      <c r="C60" s="24" t="s">
        <v>288</v>
      </c>
      <c r="D60" s="95">
        <f>'DOE25'!G97</f>
        <v>104.5</v>
      </c>
      <c r="E60" s="24" t="s">
        <v>288</v>
      </c>
      <c r="F60" s="24" t="s">
        <v>288</v>
      </c>
      <c r="G60" s="24" t="s">
        <v>288</v>
      </c>
      <c r="H60"/>
      <c r="I60"/>
    </row>
    <row r="61" spans="1:9" ht="12" thickBot="1" x14ac:dyDescent="0.25">
      <c r="A61" s="1" t="s">
        <v>172</v>
      </c>
      <c r="B61" s="118" t="s">
        <v>173</v>
      </c>
      <c r="C61" s="95">
        <f>SUM('DOE25'!F98:F110)</f>
        <v>837448.99</v>
      </c>
      <c r="D61" s="95">
        <f>SUM('DOE25'!G98:G110)</f>
        <v>44417.520000000004</v>
      </c>
      <c r="E61" s="95">
        <f>SUM('DOE25'!H98:H110)</f>
        <v>348521.17</v>
      </c>
      <c r="F61" s="95">
        <f>SUM('DOE25'!I98:I110)</f>
        <v>0</v>
      </c>
      <c r="G61" s="95">
        <f>SUM('DOE25'!J98:J110)</f>
        <v>1845.32</v>
      </c>
      <c r="H61"/>
      <c r="I61"/>
    </row>
    <row r="62" spans="1:9" ht="12.75" thickTop="1" thickBot="1" x14ac:dyDescent="0.25">
      <c r="A62" s="29" t="s">
        <v>174</v>
      </c>
      <c r="B62" s="6"/>
      <c r="C62" s="130">
        <f>SUM(C57:C61)</f>
        <v>1933131.6099999999</v>
      </c>
      <c r="D62" s="130">
        <f>SUM(D57:D61)</f>
        <v>44522.020000000004</v>
      </c>
      <c r="E62" s="130">
        <f>SUM(E57:E61)</f>
        <v>348521.17</v>
      </c>
      <c r="F62" s="130">
        <f>SUM(F57:F61)</f>
        <v>20733.78</v>
      </c>
      <c r="G62" s="130">
        <f>SUM(G57:G61)</f>
        <v>5489.05</v>
      </c>
      <c r="H62"/>
      <c r="I62"/>
    </row>
    <row r="63" spans="1:9" ht="12" thickTop="1" x14ac:dyDescent="0.2">
      <c r="A63" s="29" t="s">
        <v>175</v>
      </c>
      <c r="B63" s="6"/>
      <c r="C63" s="22">
        <f>C56+C62</f>
        <v>46883435.609999999</v>
      </c>
      <c r="D63" s="22">
        <f>D56+D62</f>
        <v>44522.020000000004</v>
      </c>
      <c r="E63" s="22">
        <f>E56+E62</f>
        <v>348521.17</v>
      </c>
      <c r="F63" s="22">
        <f>F56+F62</f>
        <v>20733.78</v>
      </c>
      <c r="G63" s="22">
        <f>G56+G62</f>
        <v>5489.05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5766568.3499999996</v>
      </c>
      <c r="D66" s="24" t="s">
        <v>288</v>
      </c>
      <c r="E66" s="24" t="s">
        <v>288</v>
      </c>
      <c r="F66" s="24" t="s">
        <v>288</v>
      </c>
      <c r="G66" s="24" t="s">
        <v>288</v>
      </c>
      <c r="H66"/>
      <c r="I66"/>
    </row>
    <row r="67" spans="1:9" x14ac:dyDescent="0.2">
      <c r="A67" s="1" t="s">
        <v>770</v>
      </c>
      <c r="B67" s="6">
        <v>3112</v>
      </c>
      <c r="C67" s="95">
        <f>'DOE25'!F118</f>
        <v>5840531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58492.97</v>
      </c>
      <c r="D69" s="95">
        <f>'DOE25'!G120</f>
        <v>0</v>
      </c>
      <c r="E69" s="95">
        <f>'DOE25'!H120</f>
        <v>0</v>
      </c>
      <c r="F69" s="95">
        <f>'DOE25'!I120</f>
        <v>0</v>
      </c>
      <c r="G69" s="95">
        <f>'DOE25'!J120</f>
        <v>0</v>
      </c>
      <c r="H69"/>
      <c r="I69"/>
    </row>
    <row r="70" spans="1:9" ht="12" thickTop="1" x14ac:dyDescent="0.2">
      <c r="A70" s="29" t="s">
        <v>252</v>
      </c>
      <c r="B70" s="2"/>
      <c r="C70" s="139">
        <f>SUM(C66:C69)</f>
        <v>11665592.32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1025645.27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653937.09</v>
      </c>
      <c r="D75" s="24" t="s">
        <v>288</v>
      </c>
      <c r="E75" s="24" t="s">
        <v>288</v>
      </c>
      <c r="F75" s="24" t="s">
        <v>288</v>
      </c>
      <c r="G75" s="24" t="s">
        <v>288</v>
      </c>
      <c r="H75"/>
      <c r="I75"/>
    </row>
    <row r="76" spans="1:9" x14ac:dyDescent="0.2">
      <c r="A76" s="1" t="s">
        <v>257</v>
      </c>
      <c r="B76" s="6" t="s">
        <v>179</v>
      </c>
      <c r="C76" s="95">
        <f>SUM('DOE25'!F127:F130)</f>
        <v>1122601.46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15350.43</v>
      </c>
      <c r="E77" s="95">
        <f>SUM('DOE25'!H131:H135)</f>
        <v>0</v>
      </c>
      <c r="F77" s="95">
        <f>SUM('DOE25'!I131:I135)</f>
        <v>0</v>
      </c>
      <c r="G77" s="95">
        <f>SUM('DOE25'!J131:J135)</f>
        <v>0</v>
      </c>
      <c r="H77"/>
      <c r="I77"/>
    </row>
    <row r="78" spans="1:9" ht="12.75" thickTop="1" thickBot="1" x14ac:dyDescent="0.25">
      <c r="A78" s="29" t="s">
        <v>259</v>
      </c>
      <c r="B78" s="6"/>
      <c r="C78" s="130">
        <f>SUM(C72:C77)</f>
        <v>2802183.82</v>
      </c>
      <c r="D78" s="130">
        <f>SUM(D72:D77)</f>
        <v>15350.43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14467776.140000001</v>
      </c>
      <c r="D81" s="130">
        <f>SUM(D79:D80)+D78+D70</f>
        <v>15350.43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856256.62999999989</v>
      </c>
      <c r="D88" s="331">
        <f>SUM('DOE25'!G153:G162)</f>
        <v>629557.07999999996</v>
      </c>
      <c r="E88" s="331">
        <f>SUM('DOE25'!H153:H162)</f>
        <v>1520414.53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856256.62999999989</v>
      </c>
      <c r="D91" s="131">
        <f>SUM(D85:D90)</f>
        <v>629557.07999999996</v>
      </c>
      <c r="E91" s="131">
        <f>SUM(E85:E90)</f>
        <v>1520414.53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255100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255100</v>
      </c>
      <c r="D103" s="86">
        <f>SUM(D93:D102)</f>
        <v>0</v>
      </c>
      <c r="E103" s="86">
        <f>SUM(E93:E102)</f>
        <v>0</v>
      </c>
      <c r="F103" s="86">
        <f>SUM(F93:F102)</f>
        <v>0</v>
      </c>
      <c r="G103" s="86">
        <f>SUM(G93:G102)</f>
        <v>0</v>
      </c>
    </row>
    <row r="104" spans="1:7" ht="12.75" thickTop="1" thickBot="1" x14ac:dyDescent="0.25">
      <c r="A104" s="33" t="s">
        <v>761</v>
      </c>
      <c r="C104" s="86">
        <f>C63+C81+C91+C103</f>
        <v>62462568.380000003</v>
      </c>
      <c r="D104" s="86">
        <f>D63+D81+D91+D103</f>
        <v>689429.52999999991</v>
      </c>
      <c r="E104" s="86">
        <f>E63+E81+E91+E103</f>
        <v>1868935.7</v>
      </c>
      <c r="F104" s="86">
        <f>F63+F81+F91+F103</f>
        <v>20733.78</v>
      </c>
      <c r="G104" s="86">
        <f>G63+G81+G103</f>
        <v>5489.05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22014159.829999998</v>
      </c>
      <c r="D109" s="24" t="s">
        <v>288</v>
      </c>
      <c r="E109" s="95">
        <f>('DOE25'!L277)+('DOE25'!L296)+('DOE25'!L315)</f>
        <v>0</v>
      </c>
      <c r="F109" s="24" t="s">
        <v>288</v>
      </c>
      <c r="G109" s="24" t="s">
        <v>288</v>
      </c>
    </row>
    <row r="110" spans="1:7" x14ac:dyDescent="0.2">
      <c r="A110" t="s">
        <v>198</v>
      </c>
      <c r="B110" s="32" t="s">
        <v>199</v>
      </c>
      <c r="C110" s="95">
        <f>('DOE25'!L199)+('DOE25'!L217)+('DOE25'!L235)</f>
        <v>9483455.6600000001</v>
      </c>
      <c r="D110" s="24" t="s">
        <v>288</v>
      </c>
      <c r="E110" s="95">
        <f>('DOE25'!L278)+('DOE25'!L297)+('DOE25'!L316)</f>
        <v>907750.89000000013</v>
      </c>
      <c r="F110" s="24" t="s">
        <v>288</v>
      </c>
      <c r="G110" s="24" t="s">
        <v>288</v>
      </c>
    </row>
    <row r="111" spans="1:7" x14ac:dyDescent="0.2">
      <c r="A111" t="s">
        <v>200</v>
      </c>
      <c r="B111" s="32" t="s">
        <v>165</v>
      </c>
      <c r="C111" s="95">
        <f>('DOE25'!L200)+('DOE25'!L218)+('DOE25'!L236)</f>
        <v>2771750.56</v>
      </c>
      <c r="D111" s="24" t="s">
        <v>288</v>
      </c>
      <c r="E111" s="95">
        <f>('DOE25'!L279)+('DOE25'!L298)+('DOE25'!L317)</f>
        <v>315184.55</v>
      </c>
      <c r="F111" s="24" t="s">
        <v>288</v>
      </c>
      <c r="G111" s="24" t="s">
        <v>288</v>
      </c>
    </row>
    <row r="112" spans="1:7" x14ac:dyDescent="0.2">
      <c r="A112" t="s">
        <v>201</v>
      </c>
      <c r="B112" s="32" t="s">
        <v>167</v>
      </c>
      <c r="C112" s="95">
        <f>('DOE25'!L201)+('DOE25'!L219)+('DOE25'!L237)</f>
        <v>1019193.31</v>
      </c>
      <c r="D112" s="24" t="s">
        <v>288</v>
      </c>
      <c r="E112" s="95">
        <f>+('DOE25'!L280)+('DOE25'!L299)+('DOE25'!L318)</f>
        <v>3614.73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229181.24</v>
      </c>
      <c r="D114" s="24" t="s">
        <v>288</v>
      </c>
      <c r="E114" s="95">
        <f>+ SUM('DOE25'!L334:L336)</f>
        <v>336024.94</v>
      </c>
      <c r="F114" s="24" t="s">
        <v>288</v>
      </c>
      <c r="G114" s="24" t="s">
        <v>288</v>
      </c>
    </row>
    <row r="115" spans="1:7" ht="12.75" thickTop="1" thickBot="1" x14ac:dyDescent="0.25">
      <c r="A115" s="33" t="s">
        <v>205</v>
      </c>
      <c r="C115" s="86">
        <f>SUM(C109:C114)</f>
        <v>35517740.600000001</v>
      </c>
      <c r="D115" s="86">
        <f>SUM(D109:D114)</f>
        <v>0</v>
      </c>
      <c r="E115" s="86">
        <f>SUM(E109:E114)</f>
        <v>1562575.11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4263593.84</v>
      </c>
      <c r="D118" s="24" t="s">
        <v>288</v>
      </c>
      <c r="E118" s="95">
        <f>+('DOE25'!L282)+('DOE25'!L301)+('DOE25'!L320)</f>
        <v>271033.08</v>
      </c>
      <c r="F118" s="24" t="s">
        <v>288</v>
      </c>
      <c r="G118" s="24" t="s">
        <v>288</v>
      </c>
    </row>
    <row r="119" spans="1:7" x14ac:dyDescent="0.2">
      <c r="A119" t="s">
        <v>208</v>
      </c>
      <c r="B119" s="32" t="s">
        <v>209</v>
      </c>
      <c r="C119" s="95">
        <f>('DOE25'!L204)+('DOE25'!L222)+('DOE25'!L240)</f>
        <v>2434763.9500000002</v>
      </c>
      <c r="D119" s="24" t="s">
        <v>288</v>
      </c>
      <c r="E119" s="95">
        <f>+('DOE25'!L283)+('DOE25'!L302)+('DOE25'!L321)</f>
        <v>0</v>
      </c>
      <c r="F119" s="24" t="s">
        <v>288</v>
      </c>
      <c r="G119" s="24" t="s">
        <v>288</v>
      </c>
    </row>
    <row r="120" spans="1:7" x14ac:dyDescent="0.2">
      <c r="A120" t="s">
        <v>210</v>
      </c>
      <c r="B120" s="32" t="s">
        <v>211</v>
      </c>
      <c r="C120" s="95">
        <f>('DOE25'!L205)+('DOE25'!L223)+('DOE25'!L241)</f>
        <v>1620794.3699999999</v>
      </c>
      <c r="D120" s="24" t="s">
        <v>288</v>
      </c>
      <c r="E120" s="95">
        <f>+('DOE25'!L284)+('DOE25'!L303)+('DOE25'!L322)</f>
        <v>0</v>
      </c>
      <c r="F120" s="24" t="s">
        <v>288</v>
      </c>
      <c r="G120" s="24" t="s">
        <v>288</v>
      </c>
    </row>
    <row r="121" spans="1:7" x14ac:dyDescent="0.2">
      <c r="A121" t="s">
        <v>212</v>
      </c>
      <c r="B121" s="32" t="s">
        <v>213</v>
      </c>
      <c r="C121" s="95">
        <f>('DOE25'!L206)+('DOE25'!L224)+('DOE25'!L242)</f>
        <v>2498684.7400000002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6515922.5299999993</v>
      </c>
      <c r="D123" s="24" t="s">
        <v>288</v>
      </c>
      <c r="E123" s="95">
        <f>+('DOE25'!L287)+('DOE25'!L306)+('DOE25'!L325)</f>
        <v>0</v>
      </c>
      <c r="F123" s="24" t="s">
        <v>288</v>
      </c>
      <c r="G123" s="24" t="s">
        <v>288</v>
      </c>
    </row>
    <row r="124" spans="1:7" x14ac:dyDescent="0.2">
      <c r="A124" t="s">
        <v>218</v>
      </c>
      <c r="B124" s="32" t="s">
        <v>219</v>
      </c>
      <c r="C124" s="95">
        <f>('DOE25'!L209)+('DOE25'!L227)+('DOE25'!L245+'DOE25'!L255)</f>
        <v>2009058.18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749008.08000000007</v>
      </c>
      <c r="E127" s="24" t="s">
        <v>288</v>
      </c>
      <c r="F127" s="24" t="s">
        <v>288</v>
      </c>
      <c r="G127" s="24" t="s">
        <v>288</v>
      </c>
    </row>
    <row r="128" spans="1:7" ht="12.75" thickTop="1" thickBot="1" x14ac:dyDescent="0.25">
      <c r="A128" s="33" t="s">
        <v>226</v>
      </c>
      <c r="C128" s="86">
        <f>SUM(C118:C127)</f>
        <v>19342817.609999999</v>
      </c>
      <c r="D128" s="86">
        <f>SUM(D118:D127)</f>
        <v>749008.08000000007</v>
      </c>
      <c r="E128" s="86">
        <f>SUM(E118:E127)</f>
        <v>271033.08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11931862.910000002</v>
      </c>
      <c r="G130" s="24" t="s">
        <v>288</v>
      </c>
    </row>
    <row r="131" spans="1:7" x14ac:dyDescent="0.2">
      <c r="A131" t="s">
        <v>229</v>
      </c>
      <c r="B131" s="32">
        <v>5110</v>
      </c>
      <c r="C131" s="95">
        <f>'DOE25'!L261</f>
        <v>2307235.48</v>
      </c>
      <c r="D131" s="24" t="s">
        <v>288</v>
      </c>
      <c r="E131" s="129">
        <f>'DOE25'!L342</f>
        <v>0</v>
      </c>
      <c r="F131" s="24" t="s">
        <v>288</v>
      </c>
      <c r="G131" s="24" t="s">
        <v>288</v>
      </c>
    </row>
    <row r="132" spans="1:7" x14ac:dyDescent="0.2">
      <c r="A132" t="s">
        <v>230</v>
      </c>
      <c r="B132" s="32">
        <v>5120</v>
      </c>
      <c r="C132" s="95">
        <f>'DOE25'!L262</f>
        <v>2293816.2799999998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1081.52</v>
      </c>
      <c r="D138" s="24" t="s">
        <v>288</v>
      </c>
      <c r="E138" s="24" t="s">
        <v>288</v>
      </c>
      <c r="F138" s="24" t="s">
        <v>288</v>
      </c>
      <c r="G138" s="24" t="s">
        <v>288</v>
      </c>
    </row>
    <row r="139" spans="1:7" x14ac:dyDescent="0.2">
      <c r="A139" t="s">
        <v>239</v>
      </c>
      <c r="B139" s="32">
        <v>5252</v>
      </c>
      <c r="C139" s="95">
        <f>'DOE25'!L402</f>
        <v>4407.53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-5489.0499999999993</v>
      </c>
      <c r="D141" s="24" t="s">
        <v>288</v>
      </c>
      <c r="E141" s="24" t="s">
        <v>288</v>
      </c>
      <c r="F141" s="24" t="s">
        <v>288</v>
      </c>
      <c r="G141" s="24" t="s">
        <v>288</v>
      </c>
    </row>
    <row r="142" spans="1:7" x14ac:dyDescent="0.2">
      <c r="A142" t="s">
        <v>241</v>
      </c>
      <c r="B142" s="32">
        <v>5310</v>
      </c>
      <c r="C142" s="129">
        <f>'DOE25'!L269</f>
        <v>280000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4881051.76</v>
      </c>
      <c r="D144" s="141">
        <f>SUM(D130:D143)</f>
        <v>0</v>
      </c>
      <c r="E144" s="141">
        <f>SUM(E130:E143)</f>
        <v>0</v>
      </c>
      <c r="F144" s="141">
        <f>SUM(F130:F143)</f>
        <v>11931862.910000002</v>
      </c>
      <c r="G144" s="141">
        <f>SUM(G130:G143)</f>
        <v>0</v>
      </c>
    </row>
    <row r="145" spans="1:9" ht="12.75" thickTop="1" thickBot="1" x14ac:dyDescent="0.25">
      <c r="A145" s="33" t="s">
        <v>244</v>
      </c>
      <c r="C145" s="86">
        <f>(C115+C128+C144)</f>
        <v>59741609.969999999</v>
      </c>
      <c r="D145" s="86">
        <f>(D115+D128+D144)</f>
        <v>749008.08000000007</v>
      </c>
      <c r="E145" s="86">
        <f>(E115+E128+E144)</f>
        <v>1833608.1900000002</v>
      </c>
      <c r="F145" s="86">
        <f>(F115+F128+F144)</f>
        <v>11931862.910000002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08/03</v>
      </c>
      <c r="C152" s="152" t="str">
        <f>'DOE25'!G492</f>
        <v>02/20</v>
      </c>
      <c r="D152" s="152">
        <f>'DOE25'!H492</f>
        <v>0</v>
      </c>
      <c r="E152" s="152">
        <f>'DOE25'!I492</f>
        <v>0</v>
      </c>
      <c r="F152" s="152">
        <f>'DOE25'!J492</f>
        <v>0</v>
      </c>
      <c r="G152" s="24" t="s">
        <v>288</v>
      </c>
    </row>
    <row r="153" spans="1:9" x14ac:dyDescent="0.2">
      <c r="A153" s="136" t="s">
        <v>29</v>
      </c>
      <c r="B153" s="152" t="str">
        <f>'DOE25'!F493</f>
        <v>08/15/23</v>
      </c>
      <c r="C153" s="152" t="str">
        <f>'DOE25'!G493</f>
        <v>02/15/40</v>
      </c>
      <c r="D153" s="152">
        <f>'DOE25'!H493</f>
        <v>0</v>
      </c>
      <c r="E153" s="152">
        <f>'DOE25'!I493</f>
        <v>0</v>
      </c>
      <c r="F153" s="152">
        <f>'DOE25'!J493</f>
        <v>0</v>
      </c>
      <c r="G153" s="24" t="s">
        <v>288</v>
      </c>
    </row>
    <row r="154" spans="1:9" x14ac:dyDescent="0.2">
      <c r="A154" s="136" t="s">
        <v>30</v>
      </c>
      <c r="B154" s="137">
        <f>'DOE25'!F494</f>
        <v>42695000</v>
      </c>
      <c r="C154" s="137">
        <f>'DOE25'!G494</f>
        <v>17800000</v>
      </c>
      <c r="D154" s="137">
        <f>'DOE25'!H494</f>
        <v>0</v>
      </c>
      <c r="E154" s="137">
        <f>'DOE25'!I494</f>
        <v>0</v>
      </c>
      <c r="F154" s="137">
        <f>'DOE25'!J494</f>
        <v>0</v>
      </c>
      <c r="G154" s="24" t="s">
        <v>288</v>
      </c>
    </row>
    <row r="155" spans="1:9" x14ac:dyDescent="0.2">
      <c r="A155" s="136" t="s">
        <v>31</v>
      </c>
      <c r="B155" s="137">
        <f>'DOE25'!F495</f>
        <v>3.7</v>
      </c>
      <c r="C155" s="137">
        <f>'DOE25'!G495</f>
        <v>2.15</v>
      </c>
      <c r="D155" s="137">
        <f>'DOE25'!H495</f>
        <v>0</v>
      </c>
      <c r="E155" s="137">
        <f>'DOE25'!I495</f>
        <v>0</v>
      </c>
      <c r="F155" s="137">
        <f>'DOE25'!J495</f>
        <v>0</v>
      </c>
      <c r="G155" s="24" t="s">
        <v>288</v>
      </c>
    </row>
    <row r="156" spans="1:9" x14ac:dyDescent="0.2">
      <c r="A156" s="22" t="s">
        <v>32</v>
      </c>
      <c r="B156" s="137">
        <f>'DOE25'!F496</f>
        <v>5619155.1500000004</v>
      </c>
      <c r="C156" s="137">
        <f>'DOE25'!G496</f>
        <v>16046500</v>
      </c>
      <c r="D156" s="137">
        <f>'DOE25'!H496</f>
        <v>0</v>
      </c>
      <c r="E156" s="137">
        <f>'DOE25'!I496</f>
        <v>0</v>
      </c>
      <c r="F156" s="137">
        <f>'DOE25'!J496</f>
        <v>0</v>
      </c>
      <c r="G156" s="138">
        <f>SUM(B156:F156)</f>
        <v>21665655.149999999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1505735.48</v>
      </c>
      <c r="C158" s="137">
        <f>'DOE25'!G498</f>
        <v>801500</v>
      </c>
      <c r="D158" s="137">
        <f>'DOE25'!H498</f>
        <v>0</v>
      </c>
      <c r="E158" s="137">
        <f>'DOE25'!I498</f>
        <v>0</v>
      </c>
      <c r="F158" s="137">
        <f>'DOE25'!J498</f>
        <v>0</v>
      </c>
      <c r="G158" s="138">
        <f t="shared" si="0"/>
        <v>2307235.48</v>
      </c>
    </row>
    <row r="159" spans="1:9" x14ac:dyDescent="0.2">
      <c r="A159" s="22" t="s">
        <v>35</v>
      </c>
      <c r="B159" s="137">
        <f>'DOE25'!F499</f>
        <v>4113419.67</v>
      </c>
      <c r="C159" s="137">
        <f>'DOE25'!G499</f>
        <v>15245000</v>
      </c>
      <c r="D159" s="137">
        <f>'DOE25'!H499</f>
        <v>0</v>
      </c>
      <c r="E159" s="137">
        <f>'DOE25'!I499</f>
        <v>0</v>
      </c>
      <c r="F159" s="137">
        <f>'DOE25'!J499</f>
        <v>0</v>
      </c>
      <c r="G159" s="138">
        <f t="shared" si="0"/>
        <v>19358419.670000002</v>
      </c>
    </row>
    <row r="160" spans="1:9" x14ac:dyDescent="0.2">
      <c r="A160" s="22" t="s">
        <v>36</v>
      </c>
      <c r="B160" s="137">
        <f>'DOE25'!F500</f>
        <v>5418929.5800000001</v>
      </c>
      <c r="C160" s="137">
        <f>'DOE25'!G500</f>
        <v>4925475</v>
      </c>
      <c r="D160" s="137">
        <f>'DOE25'!H500</f>
        <v>0</v>
      </c>
      <c r="E160" s="137">
        <f>'DOE25'!I500</f>
        <v>0</v>
      </c>
      <c r="F160" s="137">
        <f>'DOE25'!J500</f>
        <v>0</v>
      </c>
      <c r="G160" s="138">
        <f t="shared" si="0"/>
        <v>10344404.58</v>
      </c>
    </row>
    <row r="161" spans="1:7" x14ac:dyDescent="0.2">
      <c r="A161" s="22" t="s">
        <v>37</v>
      </c>
      <c r="B161" s="137">
        <f>'DOE25'!F501</f>
        <v>9532349.25</v>
      </c>
      <c r="C161" s="137">
        <f>'DOE25'!G501</f>
        <v>20170475</v>
      </c>
      <c r="D161" s="137">
        <f>'DOE25'!H501</f>
        <v>0</v>
      </c>
      <c r="E161" s="137">
        <f>'DOE25'!I501</f>
        <v>0</v>
      </c>
      <c r="F161" s="137">
        <f>'DOE25'!J501</f>
        <v>0</v>
      </c>
      <c r="G161" s="138">
        <f t="shared" si="0"/>
        <v>29702824.25</v>
      </c>
    </row>
    <row r="162" spans="1:7" x14ac:dyDescent="0.2">
      <c r="A162" s="22" t="s">
        <v>38</v>
      </c>
      <c r="B162" s="137">
        <f>'DOE25'!F502</f>
        <v>1441926.85</v>
      </c>
      <c r="C162" s="137">
        <f>'DOE25'!G502</f>
        <v>805000</v>
      </c>
      <c r="D162" s="137">
        <f>'DOE25'!H502</f>
        <v>0</v>
      </c>
      <c r="E162" s="137">
        <f>'DOE25'!I502</f>
        <v>0</v>
      </c>
      <c r="F162" s="137">
        <f>'DOE25'!J502</f>
        <v>0</v>
      </c>
      <c r="G162" s="138">
        <f t="shared" si="0"/>
        <v>2246926.85</v>
      </c>
    </row>
    <row r="163" spans="1:7" x14ac:dyDescent="0.2">
      <c r="A163" s="22" t="s">
        <v>39</v>
      </c>
      <c r="B163" s="137">
        <f>'DOE25'!F503</f>
        <v>1703219.4</v>
      </c>
      <c r="C163" s="137">
        <f>'DOE25'!G503</f>
        <v>588495</v>
      </c>
      <c r="D163" s="137">
        <f>'DOE25'!H503</f>
        <v>0</v>
      </c>
      <c r="E163" s="137">
        <f>'DOE25'!I503</f>
        <v>0</v>
      </c>
      <c r="F163" s="137">
        <f>'DOE25'!J503</f>
        <v>0</v>
      </c>
      <c r="G163" s="138">
        <f t="shared" si="0"/>
        <v>2291714.4</v>
      </c>
    </row>
    <row r="164" spans="1:7" x14ac:dyDescent="0.2">
      <c r="A164" s="22" t="s">
        <v>246</v>
      </c>
      <c r="B164" s="137">
        <f>'DOE25'!F504</f>
        <v>3145146.25</v>
      </c>
      <c r="C164" s="137">
        <f>'DOE25'!G504</f>
        <v>1393495</v>
      </c>
      <c r="D164" s="137">
        <f>'DOE25'!H504</f>
        <v>0</v>
      </c>
      <c r="E164" s="137">
        <f>'DOE25'!I504</f>
        <v>0</v>
      </c>
      <c r="F164" s="137">
        <f>'DOE25'!J504</f>
        <v>0</v>
      </c>
      <c r="G164" s="138">
        <f t="shared" si="0"/>
        <v>4538641.25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Exeter Regional Coop</v>
      </c>
    </row>
    <row r="3" spans="1:4" x14ac:dyDescent="0.2">
      <c r="B3" s="188" t="s">
        <v>1666</v>
      </c>
    </row>
    <row r="4" spans="1:4" x14ac:dyDescent="0.2">
      <c r="B4" t="s">
        <v>61</v>
      </c>
      <c r="C4" s="179">
        <f>IF('DOE25'!F666+'DOE25'!F671=0,0,ROUND('DOE25'!F673,0))</f>
        <v>0</v>
      </c>
    </row>
    <row r="5" spans="1:4" x14ac:dyDescent="0.2">
      <c r="B5" t="s">
        <v>700</v>
      </c>
      <c r="C5" s="179">
        <f>IF('DOE25'!G666+'DOE25'!G671=0,0,ROUND('DOE25'!G673,0))</f>
        <v>20111</v>
      </c>
    </row>
    <row r="6" spans="1:4" x14ac:dyDescent="0.2">
      <c r="B6" t="s">
        <v>62</v>
      </c>
      <c r="C6" s="179">
        <f>IF('DOE25'!H666+'DOE25'!H671=0,0,ROUND('DOE25'!H673,0))</f>
        <v>18698</v>
      </c>
    </row>
    <row r="7" spans="1:4" x14ac:dyDescent="0.2">
      <c r="B7" t="s">
        <v>701</v>
      </c>
      <c r="C7" s="179">
        <f>IF('DOE25'!I666+'DOE25'!I671=0,0,ROUND('DOE25'!I673,0))</f>
        <v>19248</v>
      </c>
    </row>
    <row r="9" spans="1:4" x14ac:dyDescent="0.2">
      <c r="A9" s="187" t="s">
        <v>94</v>
      </c>
      <c r="B9" s="188" t="s">
        <v>1671</v>
      </c>
      <c r="C9" s="181" t="s">
        <v>720</v>
      </c>
      <c r="D9" s="181" t="s">
        <v>721</v>
      </c>
    </row>
    <row r="10" spans="1:4" x14ac:dyDescent="0.2">
      <c r="A10">
        <v>1100</v>
      </c>
      <c r="B10" t="s">
        <v>702</v>
      </c>
      <c r="C10" s="179">
        <f>ROUND('DOE25'!L198+'DOE25'!L216+'DOE25'!L234+'DOE25'!L277+'DOE25'!L296+'DOE25'!L315,0)</f>
        <v>22014160</v>
      </c>
      <c r="D10" s="182">
        <f>ROUND((C10/$C$28)*100,1)</f>
        <v>36.700000000000003</v>
      </c>
    </row>
    <row r="11" spans="1:4" x14ac:dyDescent="0.2">
      <c r="A11">
        <v>1200</v>
      </c>
      <c r="B11" t="s">
        <v>703</v>
      </c>
      <c r="C11" s="179">
        <f>ROUND('DOE25'!L199+'DOE25'!L217+'DOE25'!L235+'DOE25'!L278+'DOE25'!L297+'DOE25'!L316,0)</f>
        <v>10391207</v>
      </c>
      <c r="D11" s="182">
        <f>ROUND((C11/$C$28)*100,1)</f>
        <v>17.3</v>
      </c>
    </row>
    <row r="12" spans="1:4" x14ac:dyDescent="0.2">
      <c r="A12">
        <v>1300</v>
      </c>
      <c r="B12" t="s">
        <v>704</v>
      </c>
      <c r="C12" s="179">
        <f>ROUND('DOE25'!L200+'DOE25'!L218+'DOE25'!L236+'DOE25'!L279+'DOE25'!L298+'DOE25'!L317,0)</f>
        <v>3086935</v>
      </c>
      <c r="D12" s="182">
        <f>ROUND((C12/$C$28)*100,1)</f>
        <v>5.0999999999999996</v>
      </c>
    </row>
    <row r="13" spans="1:4" x14ac:dyDescent="0.2">
      <c r="A13">
        <v>1400</v>
      </c>
      <c r="B13" t="s">
        <v>705</v>
      </c>
      <c r="C13" s="179">
        <f>ROUND('DOE25'!L201+'DOE25'!L219+'DOE25'!L237+'DOE25'!L280+'DOE25'!L299+'DOE25'!L318,0)</f>
        <v>1022808</v>
      </c>
      <c r="D13" s="182">
        <f>ROUND((C13/$C$28)*100,1)</f>
        <v>1.7</v>
      </c>
    </row>
    <row r="14" spans="1:4" x14ac:dyDescent="0.2">
      <c r="D14" s="182"/>
    </row>
    <row r="15" spans="1:4" x14ac:dyDescent="0.2">
      <c r="A15">
        <v>2100</v>
      </c>
      <c r="B15" t="s">
        <v>706</v>
      </c>
      <c r="C15" s="179">
        <f>ROUND('DOE25'!L203+'DOE25'!L221+'DOE25'!L239+'DOE25'!L282+'DOE25'!L301+'DOE25'!L320,0)</f>
        <v>4534627</v>
      </c>
      <c r="D15" s="182">
        <f t="shared" ref="D15:D27" si="0">ROUND((C15/$C$28)*100,1)</f>
        <v>7.6</v>
      </c>
    </row>
    <row r="16" spans="1:4" x14ac:dyDescent="0.2">
      <c r="A16">
        <v>2200</v>
      </c>
      <c r="B16" t="s">
        <v>707</v>
      </c>
      <c r="C16" s="179">
        <f>ROUND('DOE25'!L204+'DOE25'!L222+'DOE25'!L240+'DOE25'!L283+'DOE25'!L302+'DOE25'!L321,0)</f>
        <v>2434764</v>
      </c>
      <c r="D16" s="182">
        <f t="shared" si="0"/>
        <v>4.0999999999999996</v>
      </c>
    </row>
    <row r="17" spans="1:4" x14ac:dyDescent="0.2">
      <c r="A17" s="183" t="s">
        <v>723</v>
      </c>
      <c r="B17" t="s">
        <v>738</v>
      </c>
      <c r="C17" s="179">
        <f>ROUND('DOE25'!L205+'DOE25'!L210+'DOE25'!L223+'DOE25'!L228+'DOE25'!L241+'DOE25'!L246+'DOE25'!L284+'DOE25'!L289+'DOE25'!L303+'DOE25'!L308+'DOE25'!L322+'DOE25'!L327,0)</f>
        <v>1620794</v>
      </c>
      <c r="D17" s="182">
        <f t="shared" si="0"/>
        <v>2.7</v>
      </c>
    </row>
    <row r="18" spans="1:4" x14ac:dyDescent="0.2">
      <c r="A18">
        <v>2400</v>
      </c>
      <c r="B18" t="s">
        <v>711</v>
      </c>
      <c r="C18" s="179">
        <f>ROUND('DOE25'!L206+'DOE25'!L224+'DOE25'!L242+'DOE25'!L285+'DOE25'!L304+'DOE25'!L323,0)</f>
        <v>2498685</v>
      </c>
      <c r="D18" s="182">
        <f t="shared" si="0"/>
        <v>4.2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6515923</v>
      </c>
      <c r="D20" s="182">
        <f t="shared" si="0"/>
        <v>10.9</v>
      </c>
    </row>
    <row r="21" spans="1:4" x14ac:dyDescent="0.2">
      <c r="A21">
        <v>2700</v>
      </c>
      <c r="B21" t="s">
        <v>710</v>
      </c>
      <c r="C21" s="179">
        <f>ROUND('DOE25'!L209+'DOE25'!L227+'DOE25'!L245+'DOE25'!L288+'DOE25'!L307+'DOE25'!L326,0)</f>
        <v>2009058</v>
      </c>
      <c r="D21" s="182">
        <f t="shared" si="0"/>
        <v>3.3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565206</v>
      </c>
      <c r="D24" s="182">
        <f t="shared" si="0"/>
        <v>0.9</v>
      </c>
    </row>
    <row r="25" spans="1:4" x14ac:dyDescent="0.2">
      <c r="A25">
        <v>5120</v>
      </c>
      <c r="B25" t="s">
        <v>716</v>
      </c>
      <c r="C25" s="179">
        <f>ROUND('DOE25'!L262+'DOE25'!L343,0)</f>
        <v>2293816</v>
      </c>
      <c r="D25" s="182">
        <f t="shared" si="0"/>
        <v>3.8</v>
      </c>
    </row>
    <row r="26" spans="1:4" x14ac:dyDescent="0.2">
      <c r="A26" s="183" t="s">
        <v>717</v>
      </c>
      <c r="B26" t="s">
        <v>718</v>
      </c>
      <c r="C26" s="179">
        <f>'DOE25'!L269+'DOE25'!L270+'DOE25'!L350+'DOE25'!L351</f>
        <v>280000</v>
      </c>
      <c r="D26" s="182">
        <f t="shared" si="0"/>
        <v>0.5</v>
      </c>
    </row>
    <row r="27" spans="1:4" x14ac:dyDescent="0.2">
      <c r="A27">
        <v>3100</v>
      </c>
      <c r="B27" t="s">
        <v>11</v>
      </c>
      <c r="C27" s="179">
        <f>ROUND('DOE25'!L363-'DOE25'!L362,0)-SUM('DOE25'!G97:G110)</f>
        <v>704485.98</v>
      </c>
      <c r="D27" s="182">
        <f t="shared" si="0"/>
        <v>1.2</v>
      </c>
    </row>
    <row r="28" spans="1:4" x14ac:dyDescent="0.2">
      <c r="B28" s="187" t="s">
        <v>719</v>
      </c>
      <c r="C28" s="180">
        <f>SUM(C10:C27)</f>
        <v>59972468.979999997</v>
      </c>
      <c r="D28" s="184">
        <f>ROUND(SUM(D10:D27),0)</f>
        <v>100</v>
      </c>
    </row>
    <row r="29" spans="1:4" x14ac:dyDescent="0.2">
      <c r="A29">
        <v>4000</v>
      </c>
      <c r="B29" t="s">
        <v>724</v>
      </c>
      <c r="C29" s="179">
        <f>ROUND('DOE25'!L256+'DOE25'!L337+'DOE25'!L375+'DOE25'!L376+'DOE25'!L377+'DOE25'!L378+'DOE25'!L379+'DOE25'!L380+'DOE25'!L381,0)</f>
        <v>11931863</v>
      </c>
    </row>
    <row r="30" spans="1:4" x14ac:dyDescent="0.2">
      <c r="B30" s="187" t="s">
        <v>725</v>
      </c>
      <c r="C30" s="180">
        <f>SUM(C28:C29)</f>
        <v>71904331.979999989</v>
      </c>
    </row>
    <row r="31" spans="1:4" x14ac:dyDescent="0.2">
      <c r="B31" s="33"/>
      <c r="C31" s="180"/>
    </row>
    <row r="32" spans="1:4" x14ac:dyDescent="0.2">
      <c r="A32">
        <v>5100</v>
      </c>
      <c r="B32" s="33" t="s">
        <v>726</v>
      </c>
      <c r="C32" s="180">
        <f>ROUND('DOE25'!L261+'DOE25'!L342,0)</f>
        <v>2307235</v>
      </c>
    </row>
    <row r="34" spans="1:4" x14ac:dyDescent="0.2">
      <c r="A34" s="187" t="s">
        <v>94</v>
      </c>
      <c r="B34" s="188" t="s">
        <v>1667</v>
      </c>
      <c r="C34" s="181" t="s">
        <v>720</v>
      </c>
      <c r="D34" s="181" t="s">
        <v>721</v>
      </c>
    </row>
    <row r="35" spans="1:4" x14ac:dyDescent="0.2">
      <c r="A35">
        <v>1100</v>
      </c>
      <c r="B35" s="185" t="s">
        <v>727</v>
      </c>
      <c r="C35" s="179">
        <f>ROUND('DOE25'!F60+'DOE25'!G60+'DOE25'!H60+'DOE25'!I60+'DOE25'!J60,0)</f>
        <v>44950304</v>
      </c>
      <c r="D35" s="182">
        <f t="shared" ref="D35:D40" si="1">ROUND((C35/$C$41)*100,1)</f>
        <v>69.400000000000006</v>
      </c>
    </row>
    <row r="36" spans="1:4" x14ac:dyDescent="0.2">
      <c r="B36" s="185" t="s">
        <v>739</v>
      </c>
      <c r="C36" s="179">
        <f>SUM('DOE25'!F112:J112)-SUM('DOE25'!G97:G110)+('DOE25'!F175+'DOE25'!F176+'DOE25'!I175+'DOE25'!I176)-C35</f>
        <v>2307875.6099999994</v>
      </c>
      <c r="D36" s="182">
        <f t="shared" si="1"/>
        <v>3.6</v>
      </c>
    </row>
    <row r="37" spans="1:4" x14ac:dyDescent="0.2">
      <c r="A37" s="183" t="s">
        <v>835</v>
      </c>
      <c r="B37" s="185" t="s">
        <v>728</v>
      </c>
      <c r="C37" s="179">
        <f>ROUND('DOE25'!F117+'DOE25'!F118,0)</f>
        <v>11607099</v>
      </c>
      <c r="D37" s="182">
        <f t="shared" si="1"/>
        <v>17.899999999999999</v>
      </c>
    </row>
    <row r="38" spans="1:4" x14ac:dyDescent="0.2">
      <c r="A38" s="183" t="s">
        <v>734</v>
      </c>
      <c r="B38" s="185" t="s">
        <v>729</v>
      </c>
      <c r="C38" s="179">
        <f>ROUND(SUM('DOE25'!F140:J140)-SUM('DOE25'!F117:F119),0)</f>
        <v>2876027</v>
      </c>
      <c r="D38" s="182">
        <f t="shared" si="1"/>
        <v>4.4000000000000004</v>
      </c>
    </row>
    <row r="39" spans="1:4" x14ac:dyDescent="0.2">
      <c r="A39">
        <v>4000</v>
      </c>
      <c r="B39" s="185" t="s">
        <v>730</v>
      </c>
      <c r="C39" s="179">
        <f>ROUND('DOE25'!F170+'DOE25'!G170+'DOE25'!H170+'DOE25'!I170,0)</f>
        <v>3006228</v>
      </c>
      <c r="D39" s="182">
        <f t="shared" si="1"/>
        <v>4.5999999999999996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64747533.609999999</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Exeter Regional Coop</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2021-10-06T15:08:33Z</cp:lastPrinted>
  <dcterms:created xsi:type="dcterms:W3CDTF">1997-12-04T19:04:30Z</dcterms:created>
  <dcterms:modified xsi:type="dcterms:W3CDTF">2021-12-14T17:50:21Z</dcterms:modified>
</cp:coreProperties>
</file>