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868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4" i="17" l="1"/>
  <c r="E30" i="17"/>
  <c r="E22" i="17"/>
  <c r="F7" i="13"/>
  <c r="F15" i="13"/>
  <c r="H361" i="1"/>
  <c r="H359" i="1"/>
  <c r="G158" i="1"/>
  <c r="I529" i="1"/>
  <c r="I527" i="1"/>
  <c r="I524" i="1"/>
  <c r="I522" i="1"/>
  <c r="J524" i="1"/>
  <c r="J522" i="1"/>
  <c r="C39" i="12"/>
  <c r="B39" i="12"/>
  <c r="C28" i="12"/>
  <c r="C11" i="12"/>
  <c r="C10" i="12"/>
  <c r="B11" i="12"/>
  <c r="B10" i="12"/>
  <c r="J592" i="1"/>
  <c r="H592" i="1"/>
  <c r="H605" i="1"/>
  <c r="J605" i="1"/>
  <c r="H110" i="1"/>
  <c r="I287" i="1"/>
  <c r="J277" i="1"/>
  <c r="I315" i="1"/>
  <c r="I277" i="1"/>
  <c r="F9" i="1"/>
  <c r="F50" i="1"/>
  <c r="E7" i="17"/>
  <c r="H31" i="17"/>
  <c r="E43" i="14"/>
  <c r="D43"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c r="G12" i="13"/>
  <c r="H12" i="13"/>
  <c r="L206" i="1"/>
  <c r="L224" i="1"/>
  <c r="L242" i="1"/>
  <c r="G14" i="13"/>
  <c r="H14" i="13"/>
  <c r="L208" i="1"/>
  <c r="L226" i="1"/>
  <c r="L244" i="1"/>
  <c r="G15" i="13"/>
  <c r="H15" i="13"/>
  <c r="L209" i="1"/>
  <c r="L227" i="1"/>
  <c r="L245" i="1"/>
  <c r="G17" i="13"/>
  <c r="H17" i="13"/>
  <c r="L252" i="1"/>
  <c r="G18" i="13"/>
  <c r="H18" i="13"/>
  <c r="L253" i="1"/>
  <c r="D18" i="13"/>
  <c r="C18" i="13"/>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c r="L262" i="1"/>
  <c r="C132" i="2"/>
  <c r="L342" i="1"/>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E56" i="2"/>
  <c r="I60" i="1"/>
  <c r="F79" i="1"/>
  <c r="C57" i="2"/>
  <c r="F94" i="1"/>
  <c r="F111" i="1"/>
  <c r="G111" i="1"/>
  <c r="H79" i="1"/>
  <c r="H94" i="1"/>
  <c r="H111" i="1"/>
  <c r="I111" i="1"/>
  <c r="I112" i="1"/>
  <c r="J111" i="1"/>
  <c r="J112" i="1"/>
  <c r="F121" i="1"/>
  <c r="F136" i="1"/>
  <c r="G121" i="1"/>
  <c r="G136" i="1"/>
  <c r="H121" i="1"/>
  <c r="H136" i="1"/>
  <c r="H140" i="1"/>
  <c r="I121" i="1"/>
  <c r="I136" i="1"/>
  <c r="J121" i="1"/>
  <c r="J136" i="1"/>
  <c r="J140" i="1"/>
  <c r="F147" i="1"/>
  <c r="F170" i="1"/>
  <c r="G147" i="1"/>
  <c r="H147" i="1"/>
  <c r="H170" i="1"/>
  <c r="I147" i="1"/>
  <c r="L251" i="1"/>
  <c r="C113" i="2"/>
  <c r="L333" i="1"/>
  <c r="E113" i="2"/>
  <c r="L255" i="1"/>
  <c r="L269" i="1"/>
  <c r="L270" i="1"/>
  <c r="L350" i="1"/>
  <c r="E142" i="2"/>
  <c r="L351" i="1"/>
  <c r="E143" i="2"/>
  <c r="I666" i="1"/>
  <c r="I671" i="1"/>
  <c r="I673" i="1" s="1"/>
  <c r="C7" i="10" s="1"/>
  <c r="G663" i="1"/>
  <c r="I670" i="1"/>
  <c r="C42" i="10"/>
  <c r="L375" i="1"/>
  <c r="L376" i="1"/>
  <c r="L377" i="1"/>
  <c r="L378" i="1"/>
  <c r="L379" i="1"/>
  <c r="L380" i="1"/>
  <c r="L381" i="1"/>
  <c r="B2" i="10"/>
  <c r="L345" i="1"/>
  <c r="L346" i="1"/>
  <c r="E135" i="2"/>
  <c r="L347" i="1"/>
  <c r="E137" i="2"/>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K271" i="1"/>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D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E125" i="2"/>
  <c r="F128" i="2"/>
  <c r="G128" i="2"/>
  <c r="C130" i="2"/>
  <c r="D134" i="2"/>
  <c r="D144" i="2"/>
  <c r="E134" i="2"/>
  <c r="F134" i="2"/>
  <c r="K420" i="1"/>
  <c r="K428" i="1"/>
  <c r="K434" i="1"/>
  <c r="L264" i="1"/>
  <c r="C135" i="2"/>
  <c r="L265" i="1"/>
  <c r="C136" i="2"/>
  <c r="L266" i="1"/>
  <c r="C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I409" i="1"/>
  <c r="F402" i="1"/>
  <c r="G402" i="1"/>
  <c r="H402" i="1"/>
  <c r="I402" i="1"/>
  <c r="F408" i="1"/>
  <c r="G408" i="1"/>
  <c r="G409" i="1"/>
  <c r="H646" i="1"/>
  <c r="H408" i="1"/>
  <c r="I408" i="1"/>
  <c r="F409" i="1"/>
  <c r="H644"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F461" i="1"/>
  <c r="G461" i="1"/>
  <c r="H461" i="1"/>
  <c r="F471" i="1"/>
  <c r="G471" i="1"/>
  <c r="G477"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G653" i="1"/>
  <c r="H653" i="1"/>
  <c r="G654" i="1"/>
  <c r="H654" i="1"/>
  <c r="G655" i="1"/>
  <c r="H655" i="1"/>
  <c r="H656" i="1"/>
  <c r="J656" i="1"/>
  <c r="G62" i="2"/>
  <c r="I170" i="1"/>
  <c r="J652" i="1"/>
  <c r="H477" i="1"/>
  <c r="H625" i="1"/>
  <c r="J625" i="1"/>
  <c r="C12" i="10"/>
  <c r="E121" i="2"/>
  <c r="C32" i="10"/>
  <c r="D15" i="13"/>
  <c r="C15" i="13"/>
  <c r="H663" i="1"/>
  <c r="C112" i="2"/>
  <c r="C110" i="2"/>
  <c r="C121" i="2"/>
  <c r="C120" i="2"/>
  <c r="C13" i="10"/>
  <c r="E123" i="2"/>
  <c r="E110" i="2"/>
  <c r="H409" i="1"/>
  <c r="H645" i="1"/>
  <c r="J645" i="1"/>
  <c r="E112" i="2"/>
  <c r="G662" i="1"/>
  <c r="D50" i="2"/>
  <c r="G553" i="1"/>
  <c r="J258" i="1"/>
  <c r="A40" i="12"/>
  <c r="E119" i="2"/>
  <c r="D6" i="13"/>
  <c r="C6" i="13"/>
  <c r="E13" i="13"/>
  <c r="C13" i="13"/>
  <c r="K339" i="1"/>
  <c r="K353" i="1"/>
  <c r="G339" i="1"/>
  <c r="G353" i="1"/>
  <c r="E131" i="2"/>
  <c r="F258" i="1"/>
  <c r="F272" i="1"/>
  <c r="C20" i="10"/>
  <c r="I370" i="1"/>
  <c r="H635" i="1"/>
  <c r="J635" i="1"/>
  <c r="L257" i="1"/>
  <c r="H193" i="1"/>
  <c r="C11" i="10"/>
  <c r="A31" i="12"/>
  <c r="E114" i="2"/>
  <c r="E85" i="2"/>
  <c r="E91" i="2"/>
  <c r="H112" i="1"/>
  <c r="L402" i="1"/>
  <c r="C139" i="2"/>
  <c r="C91" i="2"/>
  <c r="H462" i="1"/>
  <c r="H642" i="1"/>
  <c r="J642" i="1"/>
  <c r="F339" i="1"/>
  <c r="F353" i="1"/>
  <c r="L561" i="1"/>
  <c r="G462" i="1"/>
  <c r="H641" i="1"/>
  <c r="J641" i="1"/>
  <c r="E103" i="2"/>
  <c r="D18" i="2"/>
  <c r="H553" i="1"/>
  <c r="L310" i="1"/>
  <c r="I546" i="1"/>
  <c r="F462" i="1"/>
  <c r="H640" i="1"/>
  <c r="J640" i="1"/>
  <c r="K606" i="1"/>
  <c r="G649" i="1"/>
  <c r="H258" i="1"/>
  <c r="H272" i="1"/>
  <c r="I52" i="1"/>
  <c r="H621" i="1"/>
  <c r="J621" i="1"/>
  <c r="D31" i="2"/>
  <c r="E31" i="2"/>
  <c r="C18" i="2"/>
  <c r="F18" i="2"/>
  <c r="L271" i="1"/>
  <c r="F662" i="1"/>
  <c r="F572" i="1"/>
  <c r="L420" i="1"/>
  <c r="D91" i="2"/>
  <c r="D81" i="2"/>
  <c r="E78" i="2"/>
  <c r="G546" i="1"/>
  <c r="J644" i="1"/>
  <c r="J646"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J620" i="1"/>
  <c r="C114" i="2"/>
  <c r="G112" i="1"/>
  <c r="B10" i="16"/>
  <c r="E118" i="2"/>
  <c r="L248" i="1"/>
  <c r="L212" i="1"/>
  <c r="H648"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L535" i="1"/>
  <c r="K501" i="1"/>
  <c r="I461" i="1"/>
  <c r="I453" i="1"/>
  <c r="I447" i="1"/>
  <c r="G643" i="1"/>
  <c r="H339" i="1"/>
  <c r="H353" i="1"/>
  <c r="C123" i="2"/>
  <c r="E109" i="2"/>
  <c r="C56" i="2"/>
  <c r="F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E81" i="2"/>
  <c r="G650" i="1"/>
  <c r="J650" i="1"/>
  <c r="L545" i="1"/>
  <c r="L525" i="1"/>
  <c r="J339" i="1"/>
  <c r="J353" i="1"/>
  <c r="D127" i="2"/>
  <c r="D128" i="2"/>
  <c r="D145" i="2"/>
  <c r="C124" i="2"/>
  <c r="C122" i="2"/>
  <c r="C118" i="2"/>
  <c r="C19" i="10"/>
  <c r="C16" i="10"/>
  <c r="D17" i="13"/>
  <c r="C17" i="13"/>
  <c r="D7" i="13"/>
  <c r="C7" i="13"/>
  <c r="E16" i="13"/>
  <c r="C16" i="13"/>
  <c r="C10" i="10"/>
  <c r="C109" i="2"/>
  <c r="L230" i="1"/>
  <c r="G24" i="14"/>
  <c r="H24" i="14"/>
  <c r="I24" i="14"/>
  <c r="L338" i="1"/>
  <c r="F62" i="2"/>
  <c r="F63" i="2"/>
  <c r="C23" i="10"/>
  <c r="G163" i="2"/>
  <c r="G162" i="2"/>
  <c r="G160" i="2"/>
  <c r="G159" i="2"/>
  <c r="G158" i="2"/>
  <c r="G103" i="2"/>
  <c r="F103" i="2"/>
  <c r="C103" i="2"/>
  <c r="F91" i="2"/>
  <c r="E50" i="2"/>
  <c r="C50" i="2"/>
  <c r="F31" i="2"/>
  <c r="C31" i="2"/>
  <c r="E18" i="2"/>
  <c r="E144" i="2"/>
  <c r="F50" i="2"/>
  <c r="C24" i="10"/>
  <c r="H31" i="13"/>
  <c r="H33" i="13"/>
  <c r="I339" i="1"/>
  <c r="I353" i="1"/>
  <c r="J651" i="1"/>
  <c r="L408" i="1"/>
  <c r="C140" i="2"/>
  <c r="I193" i="1"/>
  <c r="J655" i="1"/>
  <c r="J654" i="1"/>
  <c r="G21" i="2"/>
  <c r="G31" i="2"/>
  <c r="J32" i="1"/>
  <c r="J435" i="1"/>
  <c r="F435" i="1"/>
  <c r="K435" i="1"/>
  <c r="G134" i="2"/>
  <c r="G144" i="2"/>
  <c r="G145" i="2"/>
  <c r="G31" i="13"/>
  <c r="J194" i="1"/>
  <c r="G647" i="1"/>
  <c r="G140" i="1"/>
  <c r="B11" i="16"/>
  <c r="F140" i="1"/>
  <c r="G63" i="2"/>
  <c r="J619" i="1"/>
  <c r="G42" i="2"/>
  <c r="G50" i="2"/>
  <c r="J51" i="1"/>
  <c r="G16" i="2"/>
  <c r="G18" i="2"/>
  <c r="J19" i="1"/>
  <c r="G622" i="1"/>
  <c r="F546" i="1"/>
  <c r="H435" i="1"/>
  <c r="D103" i="2"/>
  <c r="I140" i="1"/>
  <c r="A22" i="12"/>
  <c r="J653" i="1"/>
  <c r="G572" i="1"/>
  <c r="I435" i="1"/>
  <c r="G435" i="1"/>
  <c r="I664" i="1"/>
  <c r="E51" i="2"/>
  <c r="E128" i="2"/>
  <c r="E115" i="2"/>
  <c r="H649" i="1"/>
  <c r="J649" i="1"/>
  <c r="F661" i="1"/>
  <c r="F665" i="1"/>
  <c r="F668" i="1"/>
  <c r="C141" i="2"/>
  <c r="C144" i="2"/>
  <c r="I663" i="1"/>
  <c r="F194" i="1"/>
  <c r="G628" i="1"/>
  <c r="J628" i="1"/>
  <c r="J272" i="1"/>
  <c r="H661" i="1"/>
  <c r="H665" i="1"/>
  <c r="H668" i="1"/>
  <c r="H194" i="1"/>
  <c r="G630" i="1"/>
  <c r="J630" i="1"/>
  <c r="C81" i="2"/>
  <c r="D51" i="2"/>
  <c r="F51" i="2"/>
  <c r="G36" i="14"/>
  <c r="H36" i="14"/>
  <c r="I36" i="14"/>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39" i="10"/>
  <c r="G33" i="13"/>
  <c r="C128" i="2"/>
  <c r="D31" i="13"/>
  <c r="C31" i="13"/>
  <c r="I462" i="1"/>
  <c r="H643" i="1"/>
  <c r="J643" i="1"/>
  <c r="G661" i="1"/>
  <c r="G665" i="1"/>
  <c r="G673" i="1"/>
  <c r="C5" i="10"/>
  <c r="C25" i="13"/>
  <c r="I33" i="13"/>
  <c r="K553" i="1"/>
  <c r="C51" i="2"/>
  <c r="G632" i="1"/>
  <c r="J632" i="1"/>
  <c r="G194" i="1"/>
  <c r="G629" i="1"/>
  <c r="J629" i="1"/>
  <c r="G627" i="1"/>
  <c r="J627" i="1"/>
  <c r="J52" i="1"/>
  <c r="H622" i="1"/>
  <c r="J622" i="1"/>
  <c r="C38" i="10"/>
  <c r="E145" i="2"/>
  <c r="H673" i="1"/>
  <c r="C6" i="10" s="1"/>
  <c r="C104" i="2"/>
  <c r="F673" i="1"/>
  <c r="C4" i="10" s="1"/>
  <c r="I661" i="1"/>
  <c r="I665" i="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<sst xmlns="http://schemas.openxmlformats.org/spreadsheetml/2006/main" count="5590" uniqueCount="1682">
  <si>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</si>
  <si>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</si>
  <si>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</si>
  <si>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</si>
  <si>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</si>
  <si>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</si>
  <si>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</si>
  <si>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</si>
  <si>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</si>
  <si>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</si>
  <si>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</si>
  <si>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</si>
  <si>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</si>
  <si>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</si>
  <si>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</si>
  <si>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</si>
  <si>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</si>
  <si>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</si>
  <si>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</si>
  <si>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</si>
  <si>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</si>
  <si>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</si>
  <si>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</si>
  <si>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</si>
  <si>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</si>
  <si>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</si>
  <si>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</si>
  <si>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</si>
  <si>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</si>
  <si>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</si>
  <si>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</si>
  <si>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</si>
  <si>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</si>
  <si>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</si>
  <si>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</si>
  <si>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</si>
  <si>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</si>
  <si>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</si>
  <si>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</si>
  <si>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</si>
  <si>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</si>
  <si>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</si>
  <si>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</si>
  <si>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</si>
  <si>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</si>
  <si>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</si>
  <si>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</si>
  <si>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</si>
  <si>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</si>
  <si>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</si>
  <si>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</si>
  <si>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</si>
  <si>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</si>
  <si>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</si>
  <si>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</si>
  <si>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</si>
  <si>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</si>
  <si>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</si>
  <si>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</si>
  <si>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</si>
  <si>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</si>
  <si>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</si>
  <si>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</si>
  <si>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</si>
  <si>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</si>
  <si>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</si>
  <si>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</si>
  <si>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</si>
  <si>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</si>
  <si>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</si>
  <si>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</si>
  <si>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</si>
  <si>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</si>
  <si>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</si>
  <si>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</si>
  <si>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</si>
  <si>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</si>
  <si>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</si>
  <si>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</si>
  <si>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</si>
  <si>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</si>
  <si>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</si>
  <si>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</si>
  <si>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</si>
  <si>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</si>
  <si>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</si>
  <si>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</si>
  <si>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</si>
  <si>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</si>
  <si>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</si>
  <si>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</si>
  <si>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</si>
  <si>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</si>
  <si>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</si>
  <si>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</si>
  <si>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</si>
  <si>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</si>
  <si>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</si>
  <si>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</si>
  <si>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</si>
  <si>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</si>
  <si>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</si>
  <si>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</si>
  <si>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</si>
  <si>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</si>
  <si>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</si>
  <si>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</si>
  <si>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</si>
  <si>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</si>
  <si>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</si>
  <si>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</si>
  <si>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</si>
  <si>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</si>
  <si>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</si>
  <si>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</si>
  <si>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</si>
  <si>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</si>
  <si>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</si>
  <si>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</si>
  <si>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</si>
  <si>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</si>
  <si>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</si>
  <si>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</si>
  <si>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</si>
  <si>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</si>
  <si>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</si>
  <si>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</si>
  <si>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</si>
  <si>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</si>
  <si>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</si>
  <si>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</si>
  <si>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</si>
  <si>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</si>
  <si>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</si>
  <si>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</si>
  <si>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</si>
  <si>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</si>
  <si>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</si>
  <si>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</si>
  <si>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</si>
  <si>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</si>
  <si>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</si>
  <si>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</si>
  <si>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</si>
  <si>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</si>
  <si>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</si>
  <si>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</si>
  <si>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</si>
  <si>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</si>
  <si>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</si>
  <si>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</si>
  <si>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</si>
  <si>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</si>
  <si>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</si>
  <si>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</si>
  <si>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</si>
  <si>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</si>
  <si>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</si>
  <si>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</si>
  <si>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</si>
  <si>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</si>
  <si>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</si>
  <si>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</si>
  <si>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</si>
  <si>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</si>
  <si>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</si>
  <si>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</si>
  <si>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</si>
  <si>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</si>
  <si>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</si>
  <si>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</si>
  <si>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</si>
  <si>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</si>
  <si>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</si>
  <si>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</si>
  <si>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</si>
  <si>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</si>
  <si>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</si>
  <si>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</si>
  <si>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</si>
  <si>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</si>
  <si>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</si>
  <si>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</si>
  <si>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</si>
  <si>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</si>
  <si>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</si>
  <si>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</si>
  <si>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</si>
  <si>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</si>
  <si>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</si>
  <si>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</si>
  <si>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</si>
  <si>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</si>
  <si>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</si>
  <si>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</si>
  <si>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</si>
  <si>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</si>
  <si>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</si>
  <si>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</si>
  <si>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</si>
  <si>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</si>
  <si>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</si>
  <si>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</si>
  <si>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</si>
  <si>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</si>
  <si>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</si>
  <si>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</si>
  <si>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</si>
  <si>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</si>
  <si>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</si>
  <si>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</si>
  <si>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</si>
  <si>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</si>
  <si>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</si>
  <si>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</si>
  <si>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</si>
  <si>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</si>
  <si>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</si>
  <si>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</si>
  <si>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</si>
  <si>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</si>
  <si>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</si>
  <si>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</si>
  <si>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</si>
  <si>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</si>
  <si>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</si>
  <si>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</si>
  <si>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</si>
  <si>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</si>
  <si>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</si>
  <si>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</si>
  <si>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</si>
  <si>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</si>
  <si>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</si>
  <si>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</si>
  <si>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</si>
  <si>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</si>
  <si>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</si>
  <si>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</si>
  <si>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</si>
  <si>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</si>
  <si>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</si>
  <si>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</si>
  <si>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</si>
  <si>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</si>
  <si>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</si>
  <si>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</si>
  <si>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</si>
  <si>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</si>
  <si>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</si>
  <si>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</si>
  <si>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</si>
  <si>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</si>
  <si>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</si>
  <si>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</si>
  <si>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</si>
  <si>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</si>
  <si>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</si>
  <si>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</si>
  <si>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</si>
  <si>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</si>
  <si>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</si>
  <si>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</si>
  <si>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</si>
  <si>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</si>
  <si>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</si>
  <si>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</si>
  <si>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</si>
  <si>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</si>
  <si>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</si>
  <si>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</si>
  <si>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</si>
  <si>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</si>
  <si>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</si>
  <si>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</si>
  <si>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</si>
  <si>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</si>
  <si>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</si>
  <si>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</si>
  <si>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</si>
  <si>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</si>
  <si>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</si>
  <si>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</si>
  <si>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</si>
  <si>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</si>
  <si>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</si>
  <si>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</si>
  <si>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</si>
  <si>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</si>
  <si>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</si>
  <si>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</si>
  <si>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</si>
  <si>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</si>
  <si>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</si>
  <si>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</si>
  <si>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</si>
  <si>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</si>
  <si>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</si>
  <si>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</si>
  <si>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</si>
  <si>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</si>
  <si>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</si>
  <si>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</si>
  <si>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</si>
  <si>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</si>
  <si>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</si>
  <si>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</si>
  <si>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</si>
  <si>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</si>
  <si>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</si>
  <si>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</si>
  <si>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</si>
  <si>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</si>
  <si>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</si>
  <si>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</si>
  <si>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</si>
  <si>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</si>
  <si>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</si>
  <si>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</si>
  <si>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</si>
  <si>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</si>
  <si>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</si>
  <si>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</si>
  <si>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</si>
  <si>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</si>
  <si>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</si>
  <si>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</si>
  <si>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</si>
  <si>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</si>
  <si>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</si>
  <si>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</si>
  <si>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</si>
  <si>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</si>
  <si>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</si>
  <si>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</si>
  <si>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</si>
  <si>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</si>
  <si>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</si>
  <si>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</si>
  <si>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</si>
  <si>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</si>
  <si>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</si>
  <si>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</si>
  <si>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</si>
  <si>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</si>
  <si>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</si>
  <si>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</si>
  <si>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</si>
  <si>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</si>
  <si>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</si>
  <si>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</si>
  <si>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</si>
  <si>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</si>
  <si>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</si>
  <si>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</si>
  <si>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</si>
  <si>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</si>
  <si>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</si>
  <si>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</si>
  <si>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</si>
  <si>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</si>
  <si>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</si>
  <si>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</si>
  <si>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</si>
  <si>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</si>
  <si>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</si>
  <si>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</si>
  <si>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</si>
  <si>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</si>
  <si>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</si>
  <si>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</si>
  <si>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</si>
  <si>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</si>
  <si>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</si>
  <si>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</si>
  <si>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</si>
  <si>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</si>
  <si>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</si>
  <si>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</si>
  <si>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</si>
  <si>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</si>
  <si>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</si>
  <si>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</si>
  <si>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</si>
  <si>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</si>
  <si>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</si>
  <si>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</si>
  <si>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</si>
  <si>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</si>
  <si>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</si>
  <si>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</si>
  <si>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</si>
  <si>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</si>
  <si>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</si>
  <si>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</si>
  <si>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</si>
  <si>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</si>
  <si>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</si>
  <si>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</si>
  <si>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</si>
  <si>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</si>
  <si>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</si>
  <si>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</si>
  <si>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</si>
  <si>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</si>
  <si>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</si>
  <si>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</si>
  <si>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</si>
  <si>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</si>
  <si>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</si>
  <si>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</si>
  <si>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</si>
  <si>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</si>
  <si>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</si>
  <si>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</si>
  <si>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</si>
  <si>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</si>
  <si>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</si>
  <si>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</si>
  <si>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</si>
  <si>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</si>
  <si>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</si>
  <si>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</si>
  <si>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</si>
  <si>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</si>
  <si>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</si>
  <si>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</si>
  <si>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</si>
  <si>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</si>
  <si>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</si>
  <si>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</si>
  <si>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</si>
  <si>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</si>
  <si>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</si>
  <si>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</si>
  <si>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</si>
  <si>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</si>
  <si>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</si>
  <si>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</si>
  <si>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</si>
  <si>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</si>
  <si>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</si>
  <si>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</si>
  <si>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</si>
  <si>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</si>
  <si>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</si>
  <si>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</si>
  <si>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</si>
  <si>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</si>
  <si>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</si>
  <si>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</si>
  <si>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</si>
  <si>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</si>
  <si>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</si>
  <si>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</si>
  <si>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</si>
  <si>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</si>
  <si>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</si>
  <si>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</si>
  <si>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</si>
  <si>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</si>
  <si>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</si>
  <si>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</si>
  <si>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</si>
  <si>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</si>
  <si>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</si>
  <si>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</si>
  <si>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</si>
  <si>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</si>
  <si>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</si>
  <si>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</si>
  <si>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</si>
  <si>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</si>
  <si>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</si>
  <si>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</si>
  <si>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</si>
  <si>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</si>
  <si>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</si>
  <si>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</si>
  <si>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</si>
  <si>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</si>
  <si>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</si>
  <si>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</si>
  <si>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</si>
  <si>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</si>
  <si>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</si>
  <si>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</si>
  <si>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</si>
  <si>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</si>
  <si>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</si>
  <si>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</si>
  <si>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</si>
  <si>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</si>
  <si>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</si>
  <si>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</si>
  <si>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</si>
  <si>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</si>
  <si>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</si>
  <si>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</si>
  <si>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</si>
  <si>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</si>
  <si>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</si>
  <si>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</si>
  <si>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</si>
  <si>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</si>
  <si>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</si>
  <si>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</si>
  <si>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</si>
  <si>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</si>
  <si>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</si>
  <si>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</si>
  <si>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</si>
  <si>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</si>
  <si>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</si>
  <si>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</si>
  <si>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</si>
  <si>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</si>
  <si>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</si>
  <si>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</si>
  <si>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</si>
  <si>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</si>
  <si>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</si>
  <si>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</si>
  <si>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</si>
  <si>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</si>
  <si>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</si>
  <si>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</si>
  <si>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</si>
  <si>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</si>
  <si>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</si>
  <si>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</si>
  <si>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</si>
  <si>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</si>
  <si>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</si>
  <si>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</si>
  <si>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</si>
  <si>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</si>
  <si>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</si>
  <si>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</si>
  <si>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</si>
  <si>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</si>
  <si>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</si>
  <si>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</si>
  <si>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</si>
  <si>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</si>
  <si>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</si>
  <si>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</si>
  <si>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</si>
  <si>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</si>
  <si>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</si>
  <si>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</si>
  <si>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</si>
  <si>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</si>
  <si>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</si>
  <si>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</si>
  <si>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</si>
  <si>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</si>
  <si>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</si>
  <si>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</si>
  <si>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</si>
  <si>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</si>
  <si>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</si>
  <si>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</si>
  <si>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</si>
  <si>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</si>
  <si>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</si>
  <si>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</si>
  <si>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</si>
  <si>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</si>
  <si>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</si>
  <si>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</si>
  <si>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</si>
  <si>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</si>
  <si>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</si>
  <si>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</si>
  <si>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</si>
  <si>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</si>
  <si>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</si>
  <si>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</si>
  <si>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</si>
  <si>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</si>
  <si>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</si>
  <si>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</si>
  <si>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</si>
  <si>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</si>
  <si>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</si>
  <si>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</si>
  <si>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</si>
  <si>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</si>
  <si>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</si>
  <si>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</si>
  <si>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</si>
  <si>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</si>
  <si>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</si>
  <si>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</si>
  <si>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</si>
  <si>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</si>
  <si>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</si>
  <si>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</si>
  <si>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</si>
  <si>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</si>
  <si>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</si>
  <si>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</si>
  <si>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</si>
  <si>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</si>
  <si>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</si>
  <si>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</si>
  <si>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</si>
  <si>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</si>
  <si>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</si>
  <si>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</si>
  <si>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</si>
  <si>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</si>
  <si>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</si>
  <si>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</si>
  <si>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</si>
  <si>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</si>
  <si>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</si>
  <si>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</si>
  <si>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</si>
  <si>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</si>
  <si>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</si>
  <si>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</si>
  <si>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</si>
  <si>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</si>
  <si>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</si>
  <si>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</si>
  <si>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</si>
  <si>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</si>
  <si>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</si>
  <si>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</si>
  <si>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</si>
  <si>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</si>
  <si>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</si>
  <si>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</si>
  <si>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</si>
  <si>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</si>
  <si>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</si>
  <si>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</si>
  <si>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</si>
  <si>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</si>
  <si>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</si>
  <si>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</si>
  <si>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</si>
  <si>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</si>
  <si>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</si>
  <si>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</si>
  <si>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</si>
  <si>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</si>
  <si>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</si>
  <si>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</si>
  <si>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</si>
  <si>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</si>
  <si>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</si>
  <si>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</si>
  <si>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</si>
  <si>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</si>
  <si>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</si>
  <si>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</si>
  <si>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</si>
  <si>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</si>
  <si>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</si>
  <si>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</si>
  <si>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</si>
  <si>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</si>
  <si>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</si>
  <si>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</si>
  <si>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</si>
  <si>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</si>
  <si>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</si>
  <si>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</si>
  <si>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</si>
  <si>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</si>
  <si>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</si>
  <si>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</si>
  <si>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</si>
  <si>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</si>
  <si>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</si>
  <si>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</si>
  <si>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</si>
  <si>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</si>
  <si>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</si>
  <si>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</si>
  <si>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</si>
  <si>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</si>
  <si>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</si>
  <si>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</si>
  <si>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</si>
  <si>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</si>
  <si>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</si>
  <si>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</si>
  <si>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</si>
  <si>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</si>
  <si>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</si>
  <si>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</si>
  <si>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</si>
  <si>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</si>
  <si>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</si>
  <si>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</si>
  <si>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</si>
  <si>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</si>
  <si>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</si>
  <si>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</si>
  <si>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</si>
  <si>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</si>
  <si>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</si>
  <si>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</si>
  <si>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</si>
  <si>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</si>
  <si>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</si>
  <si>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</si>
  <si>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</si>
  <si>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</si>
  <si>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</si>
  <si>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</si>
  <si>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</si>
  <si>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</si>
  <si>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</si>
  <si>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</si>
  <si>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</si>
  <si>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</si>
  <si>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</si>
  <si>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</si>
  <si>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</si>
  <si>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</si>
  <si>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</si>
  <si>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</si>
  <si>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</si>
  <si>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</si>
  <si>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</si>
  <si>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</si>
  <si>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</si>
  <si>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</si>
  <si>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</si>
  <si>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</si>
  <si>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</si>
  <si>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</si>
  <si>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</si>
  <si>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</si>
  <si>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</si>
  <si>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</si>
  <si>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</si>
  <si>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</si>
  <si>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</si>
  <si>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</si>
  <si>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</si>
  <si>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</si>
  <si>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</si>
  <si>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</si>
  <si>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</si>
  <si>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</si>
  <si>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</si>
  <si>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</si>
  <si>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</si>
  <si>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</si>
  <si>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</si>
  <si>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</si>
  <si>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</si>
  <si>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</si>
  <si>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</si>
  <si>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</si>
  <si>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</si>
  <si>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</si>
  <si>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</si>
  <si>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</si>
  <si>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</si>
  <si>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</si>
  <si>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</si>
  <si>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</si>
  <si>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</si>
  <si>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</si>
  <si>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</si>
  <si>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</si>
  <si>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</si>
  <si>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</si>
  <si>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</si>
  <si>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</si>
  <si>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</si>
  <si>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</si>
  <si>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</si>
  <si>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</si>
  <si>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</si>
  <si>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</si>
  <si>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</si>
  <si>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</si>
  <si>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</si>
  <si>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</si>
  <si>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</si>
  <si>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</si>
  <si>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</si>
  <si>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</si>
  <si>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</si>
  <si>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</si>
  <si>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</si>
  <si>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</si>
  <si>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</si>
  <si>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</si>
  <si>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</si>
  <si>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</si>
  <si>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</si>
  <si>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</si>
  <si>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</si>
  <si>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</si>
  <si>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</si>
  <si>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</si>
  <si>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</si>
  <si>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</si>
  <si>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</si>
  <si>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</si>
  <si>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</si>
  <si>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</si>
  <si>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</si>
  <si>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</si>
  <si>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</si>
  <si>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</si>
  <si>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</si>
  <si>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</si>
  <si>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</si>
  <si>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</si>
  <si>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</si>
  <si>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</si>
  <si>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</si>
  <si>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</si>
  <si>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</si>
  <si>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</si>
  <si>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</si>
  <si>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</si>
  <si>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</si>
  <si>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</si>
  <si>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</si>
  <si>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</si>
  <si>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</si>
  <si>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</si>
  <si>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</si>
  <si>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</si>
  <si>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</si>
  <si>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</si>
  <si>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</si>
  <si>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</si>
  <si>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</si>
  <si>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</si>
  <si>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</si>
  <si>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</si>
  <si>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</si>
  <si>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</si>
  <si>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</si>
  <si>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</si>
  <si>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</si>
  <si>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</si>
  <si>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</si>
  <si>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</si>
  <si>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</si>
  <si>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</si>
  <si>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</si>
  <si>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</si>
  <si>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</si>
  <si>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</si>
  <si>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</si>
  <si>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</si>
  <si>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</si>
  <si>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</si>
  <si>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</si>
  <si>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</si>
  <si>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</si>
  <si>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</si>
  <si>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</si>
  <si>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</si>
  <si>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</si>
  <si>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</si>
  <si>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</si>
  <si>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</si>
  <si>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</si>
  <si>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</si>
  <si>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</si>
  <si>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</si>
  <si>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</si>
  <si>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</si>
  <si>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</si>
  <si>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</si>
  <si>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</si>
  <si>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</si>
  <si>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</si>
  <si>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</si>
  <si>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</si>
  <si>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</si>
  <si>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</si>
  <si>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</si>
  <si>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</si>
  <si>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</si>
  <si>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</si>
  <si>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</si>
  <si>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</si>
  <si>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</si>
  <si>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</si>
  <si>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</si>
  <si>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</si>
  <si>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</si>
  <si>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</si>
  <si>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</si>
  <si>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</si>
  <si>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</si>
  <si>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</si>
  <si>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</si>
  <si>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</si>
  <si>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</si>
  <si>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</si>
  <si>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</si>
  <si>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</si>
  <si>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</si>
  <si>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</si>
  <si>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</si>
  <si>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</si>
  <si>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</si>
  <si>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</si>
  <si>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</si>
  <si>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</si>
  <si>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</si>
  <si>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</si>
  <si>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</si>
  <si>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</si>
  <si>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</si>
  <si>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</si>
  <si>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</si>
  <si>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</si>
  <si>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</si>
  <si>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</si>
  <si>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</si>
  <si>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</si>
  <si>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</si>
  <si>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</si>
  <si>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</si>
  <si>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</si>
  <si>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</si>
  <si>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</si>
  <si>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</si>
  <si>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</si>
  <si>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</si>
  <si>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</si>
  <si>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</si>
  <si>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</si>
  <si>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</si>
  <si>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</si>
  <si>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</si>
  <si>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</si>
  <si>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</si>
  <si>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</si>
  <si>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</si>
  <si>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</si>
  <si>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</si>
  <si>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</si>
  <si>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</si>
  <si>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</si>
  <si>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</si>
  <si>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</si>
  <si>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</si>
  <si>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</si>
  <si>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</si>
  <si>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</si>
  <si>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</si>
  <si>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</si>
  <si>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</si>
  <si>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</si>
  <si>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</si>
  <si>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</si>
  <si>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</si>
  <si>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</si>
  <si>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</si>
  <si>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</si>
  <si>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</si>
  <si>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</si>
  <si>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</si>
  <si>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</si>
  <si>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</si>
  <si>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</si>
  <si>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</si>
  <si>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</si>
  <si>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</si>
  <si>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</si>
  <si>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</si>
  <si>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</si>
  <si>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</si>
  <si>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</si>
  <si>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</si>
  <si>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</si>
  <si>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</si>
  <si>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</si>
  <si>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</si>
  <si>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</si>
  <si>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</si>
  <si>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</si>
  <si>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</si>
  <si>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</si>
  <si>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</si>
  <si>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</si>
  <si>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</si>
  <si>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</si>
  <si>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</si>
  <si>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</si>
  <si>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</si>
  <si>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</si>
  <si>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</si>
  <si>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</si>
  <si>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</si>
  <si>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</si>
  <si>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</si>
  <si>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</si>
  <si>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</si>
  <si>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</si>
  <si>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</si>
  <si>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</si>
  <si>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</si>
  <si>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</si>
  <si>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</si>
  <si>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</si>
  <si>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</si>
  <si>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</si>
  <si>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</si>
  <si>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</si>
  <si>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</si>
  <si>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</si>
  <si>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</si>
  <si>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</si>
  <si>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</si>
  <si>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</si>
  <si>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</si>
  <si>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</si>
  <si>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</si>
  <si>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</si>
  <si>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</si>
  <si>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</si>
  <si>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</si>
  <si>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</si>
  <si>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</si>
  <si>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</si>
  <si>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</si>
  <si>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</si>
  <si>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</si>
  <si>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</si>
  <si>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</si>
  <si>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</si>
  <si>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</si>
  <si>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</si>
  <si>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</si>
  <si>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</si>
  <si>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</si>
  <si>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</si>
  <si>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</si>
  <si>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</si>
  <si>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</si>
  <si>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</si>
  <si>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</si>
  <si>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</si>
  <si>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</si>
  <si>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</si>
  <si>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</si>
  <si>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</si>
  <si>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</si>
  <si>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</si>
  <si>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</si>
  <si>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</si>
  <si>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</si>
  <si>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</si>
  <si>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</si>
  <si>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</si>
  <si>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</si>
  <si>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</si>
  <si>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</si>
  <si>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</si>
  <si>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</si>
  <si>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</si>
  <si>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</si>
  <si>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</si>
  <si>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</si>
  <si>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</si>
  <si>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</si>
  <si>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</si>
  <si>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</si>
  <si>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</si>
  <si>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</si>
  <si>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</si>
  <si>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</si>
  <si>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</si>
  <si>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</si>
  <si>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</si>
  <si>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</si>
  <si>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</si>
  <si>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</si>
  <si>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</si>
  <si>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</si>
  <si>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</si>
  <si>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</si>
  <si>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</si>
  <si>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</si>
  <si>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</si>
  <si>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</si>
  <si>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</si>
  <si>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</si>
  <si>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</si>
  <si>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</si>
  <si>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</si>
  <si>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</si>
  <si>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</si>
  <si>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</si>
  <si>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</si>
  <si>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</si>
  <si>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</si>
  <si>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</si>
  <si>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</si>
  <si>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</si>
  <si>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</si>
  <si>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</si>
  <si>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</si>
  <si>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</si>
  <si>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</si>
  <si>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</si>
  <si>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</si>
  <si>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</si>
  <si>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</si>
  <si>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</si>
  <si>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</si>
  <si>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</si>
  <si>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</si>
  <si>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</si>
  <si>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</si>
  <si>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</si>
  <si>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</si>
  <si>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</si>
  <si>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</si>
  <si>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</si>
  <si>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</si>
  <si>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</si>
  <si>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</si>
  <si>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</si>
  <si>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</si>
  <si>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</si>
  <si>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</si>
  <si>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</si>
  <si>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</si>
  <si>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</si>
  <si>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</si>
  <si>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</si>
  <si>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</si>
  <si>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</si>
  <si>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</si>
  <si>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</si>
  <si>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</si>
  <si>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</si>
  <si>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</si>
  <si>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</si>
  <si>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</si>
  <si>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</si>
  <si>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</si>
  <si>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</si>
  <si>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</si>
  <si>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</si>
  <si>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</si>
  <si>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</si>
  <si>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</si>
  <si>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</si>
  <si>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</si>
  <si>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</si>
  <si>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</si>
  <si>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</si>
  <si>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</si>
  <si>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</si>
  <si>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</si>
  <si>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</si>
  <si>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</si>
  <si>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</si>
  <si>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</si>
  <si>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</si>
  <si>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</si>
  <si>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</si>
  <si>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</si>
  <si>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</si>
  <si>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</si>
  <si>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</si>
  <si>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</si>
  <si>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</si>
  <si>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</si>
  <si>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</si>
  <si>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</si>
  <si>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</si>
  <si>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</si>
  <si>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</si>
  <si>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</si>
  <si>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</si>
  <si>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</si>
  <si>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</si>
  <si>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</si>
  <si>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</si>
  <si>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</si>
  <si>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</si>
  <si>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</si>
  <si>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</si>
  <si>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</si>
  <si>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</si>
  <si>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</si>
  <si>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</si>
  <si>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</si>
  <si>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</si>
  <si>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</si>
  <si>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</si>
  <si>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</si>
  <si>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</si>
  <si>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</si>
  <si>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</si>
  <si>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</si>
  <si>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</si>
  <si>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</si>
  <si>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</si>
  <si>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</si>
  <si>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</si>
  <si>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</si>
  <si>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</si>
  <si>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</si>
  <si>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</si>
  <si>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</si>
  <si>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</si>
  <si>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</si>
  <si>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</si>
  <si>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</si>
  <si>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</si>
  <si>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</si>
  <si>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</si>
  <si>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</si>
  <si>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</si>
  <si>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</si>
  <si>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</si>
  <si>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</si>
  <si>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</si>
  <si>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</si>
  <si>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</si>
  <si>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</si>
  <si>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</si>
  <si>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</si>
  <si>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</si>
  <si>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</si>
  <si>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</si>
  <si>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</si>
  <si>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</si>
  <si>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</si>
  <si>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</si>
  <si>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</si>
  <si>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</si>
  <si>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</si>
  <si>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</si>
  <si>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</si>
  <si>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</si>
  <si>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</si>
  <si>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</si>
  <si>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</si>
  <si>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</si>
  <si>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</si>
  <si>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</si>
  <si>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</si>
  <si>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</si>
  <si>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</si>
  <si>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</si>
  <si>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</si>
  <si>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</si>
  <si>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</si>
  <si>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</si>
  <si>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</si>
  <si>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</si>
  <si>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</si>
  <si>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</si>
  <si>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</si>
  <si>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</si>
  <si>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</si>
  <si>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</si>
  <si>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</si>
  <si>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</si>
  <si>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</si>
  <si>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</si>
  <si>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</si>
  <si>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</si>
  <si>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</si>
  <si>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</si>
  <si>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</si>
  <si>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</si>
  <si>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</si>
  <si>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</si>
  <si>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</si>
  <si>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</si>
  <si>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</si>
  <si>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</si>
  <si>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</si>
  <si>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</si>
  <si>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</si>
  <si>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</si>
  <si>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</si>
  <si>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</si>
  <si>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</si>
  <si>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</si>
  <si>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</si>
  <si>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</si>
  <si>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</si>
  <si>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</si>
  <si>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</si>
  <si>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</si>
  <si>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</si>
  <si>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</si>
  <si>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</si>
  <si>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</si>
  <si>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</si>
  <si>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</si>
  <si>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</si>
  <si>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</si>
  <si>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</si>
  <si>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</si>
  <si>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</si>
  <si>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</si>
  <si>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</si>
  <si>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</si>
  <si>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</si>
  <si>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</si>
  <si>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</si>
  <si>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</si>
  <si>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</si>
  <si>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</si>
  <si>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</si>
  <si>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</si>
  <si>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</si>
  <si>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</si>
  <si>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</si>
  <si>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</si>
  <si>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</si>
  <si>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</si>
  <si>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</si>
  <si>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</si>
  <si>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</si>
  <si>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</si>
  <si>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</si>
  <si>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</si>
  <si>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</si>
  <si>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</si>
  <si>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</si>
  <si>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</si>
  <si>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</si>
  <si>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</si>
  <si>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</si>
  <si>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</si>
  <si>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</si>
  <si>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</si>
  <si>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</si>
  <si>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</si>
  <si>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</si>
  <si>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</si>
  <si>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</si>
  <si>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</si>
  <si>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</si>
  <si>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</si>
  <si>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</si>
  <si>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</si>
  <si>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</si>
  <si>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</si>
  <si>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</si>
  <si>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</si>
  <si>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</si>
  <si>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</si>
  <si>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</si>
  <si>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</si>
  <si>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</si>
  <si>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</si>
  <si>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</si>
  <si>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</si>
  <si>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</si>
  <si>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</si>
  <si>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</si>
  <si>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</si>
  <si>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</si>
  <si>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</si>
  <si>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</si>
  <si>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</si>
  <si>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</si>
  <si>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</si>
  <si>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</si>
  <si>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</si>
  <si>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</si>
  <si>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</si>
  <si>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</si>
  <si>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</si>
  <si>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</si>
  <si>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</si>
  <si>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</si>
  <si>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</si>
  <si>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</si>
  <si>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</si>
  <si>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</si>
  <si>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</si>
  <si>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</si>
  <si>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</si>
  <si>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</si>
  <si>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</si>
  <si>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</si>
  <si>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</si>
  <si>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</si>
  <si>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</si>
  <si>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</si>
  <si>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</si>
  <si>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</si>
  <si>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</si>
  <si>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</si>
  <si>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</si>
  <si>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</si>
  <si>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</si>
  <si>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</si>
  <si>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</si>
  <si>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</si>
  <si>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</si>
  <si>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</si>
  <si>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</si>
  <si>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</si>
  <si>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</si>
  <si>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</si>
  <si>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</si>
  <si>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</si>
  <si>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</si>
  <si>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</si>
  <si>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</si>
  <si>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</si>
  <si>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</si>
  <si>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</si>
  <si>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</si>
  <si>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</si>
  <si>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</si>
  <si>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</si>
  <si>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</si>
  <si>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</si>
  <si>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</si>
  <si>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</si>
  <si>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</si>
  <si>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</si>
  <si>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</si>
  <si>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</si>
  <si>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</si>
  <si>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</si>
  <si>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</si>
  <si>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</si>
  <si>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</si>
  <si>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</si>
  <si>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</si>
  <si>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</si>
  <si>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</si>
  <si>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</si>
  <si>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</si>
  <si>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</si>
  <si>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</si>
  <si>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</si>
  <si>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</si>
  <si>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</si>
  <si>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</si>
  <si>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</si>
  <si>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</si>
  <si>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</si>
  <si>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</si>
  <si>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</si>
  <si>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</si>
  <si>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</si>
  <si>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</si>
  <si>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</si>
  <si>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</si>
  <si>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</si>
  <si>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</si>
  <si>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</si>
  <si>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</si>
  <si>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</si>
  <si>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</si>
  <si>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</si>
  <si>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</si>
  <si>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</si>
  <si>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</si>
  <si>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</si>
  <si>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</si>
  <si>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</si>
  <si>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</si>
  <si>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</si>
  <si>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</si>
  <si>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</si>
  <si>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</si>
  <si>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</si>
  <si>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</si>
  <si>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</si>
  <si>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</si>
  <si>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</si>
  <si>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</si>
  <si>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</si>
  <si>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</si>
  <si>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</si>
  <si>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</si>
  <si>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</si>
  <si>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</si>
  <si>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</si>
  <si>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</si>
  <si>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</si>
  <si>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</si>
  <si>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</si>
  <si>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</si>
  <si>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</si>
  <si>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</si>
  <si>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</si>
  <si>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</si>
  <si>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</si>
  <si>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</si>
  <si>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</si>
  <si>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</si>
  <si>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</si>
  <si>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</si>
  <si>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</si>
  <si>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</si>
  <si>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</si>
  <si>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</si>
  <si>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</si>
  <si>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</si>
  <si>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</si>
  <si>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</si>
  <si>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</si>
  <si>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</si>
  <si>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</si>
  <si>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</si>
  <si>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</si>
  <si>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</si>
  <si>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</si>
  <si>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</si>
  <si>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</si>
  <si>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</si>
  <si>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</si>
  <si>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</si>
  <si>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</si>
  <si>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</si>
  <si>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</si>
  <si>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</si>
  <si>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</si>
  <si>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</si>
  <si>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</si>
  <si>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</si>
  <si>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</si>
  <si>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</si>
  <si>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</si>
  <si>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</si>
  <si>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</si>
  <si>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</si>
  <si>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</si>
  <si>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</si>
  <si>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</si>
  <si>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</si>
  <si>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</si>
  <si>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</si>
  <si>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</si>
  <si>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</si>
  <si>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</si>
  <si>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</si>
  <si>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</si>
  <si>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</si>
  <si>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</si>
  <si>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</si>
  <si>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</si>
  <si>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</si>
  <si>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</si>
  <si>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</si>
  <si>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</si>
  <si>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</si>
  <si>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</si>
  <si>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</si>
  <si>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</si>
  <si>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</si>
  <si>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</si>
  <si>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</si>
  <si>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</si>
  <si>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</si>
  <si>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</si>
  <si>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</si>
  <si>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</si>
  <si>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</si>
  <si>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</si>
  <si>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</si>
  <si>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</si>
  <si>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</si>
  <si>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</si>
  <si>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</si>
  <si>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</si>
  <si>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</si>
  <si>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</si>
  <si>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</si>
  <si>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</si>
  <si>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</si>
  <si>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</si>
  <si>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</si>
  <si>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</si>
  <si>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</si>
  <si>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</si>
  <si>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</si>
  <si>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</si>
  <si>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</si>
  <si>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</si>
  <si>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</si>
  <si>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</si>
  <si>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</si>
  <si>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</si>
  <si>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</si>
  <si>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</si>
  <si>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</si>
  <si>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</si>
  <si>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</si>
  <si>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</si>
  <si>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</si>
  <si>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</si>
  <si>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</si>
  <si>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</si>
  <si>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</si>
  <si>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</si>
  <si>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</si>
  <si>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</si>
  <si>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</si>
  <si>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</si>
  <si>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</si>
  <si>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</si>
  <si>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</si>
  <si>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</si>
  <si>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</si>
  <si>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</si>
  <si>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</si>
  <si>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</si>
  <si>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</si>
  <si>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</si>
  <si>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</si>
  <si>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</si>
  <si>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</si>
  <si>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</si>
  <si>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</si>
  <si>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</si>
  <si>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</si>
  <si>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</si>
  <si>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</si>
  <si>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</si>
  <si>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</si>
  <si>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</si>
  <si>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</si>
  <si>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</si>
  <si>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</si>
  <si>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</si>
  <si>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</si>
  <si>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</si>
  <si>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</si>
  <si>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</si>
  <si>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</si>
  <si>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</si>
  <si>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</si>
  <si>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</si>
  <si>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</si>
  <si>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</si>
  <si>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</si>
  <si>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</si>
  <si>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</si>
  <si>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</si>
  <si>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</si>
  <si>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</si>
  <si>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</si>
  <si>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</si>
  <si>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</si>
  <si>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</si>
  <si>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</si>
  <si>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</si>
  <si>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</si>
  <si>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</si>
  <si>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</si>
  <si>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</si>
  <si>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</si>
  <si>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</si>
  <si>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</si>
  <si>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</si>
  <si>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VILAS Elementary School</t>
  </si>
  <si>
    <t>08/05</t>
  </si>
  <si>
    <t>08/24</t>
  </si>
  <si>
    <t>10/19</t>
  </si>
  <si>
    <t>10/23</t>
  </si>
  <si>
    <t>Beginning General Fund equity restated to reflect audit adjustments from the FY20 audit, completed after DOE 25 submission.</t>
  </si>
  <si>
    <t>Fall Mountain Regional School District</t>
  </si>
  <si>
    <t>1/1</t>
  </si>
  <si>
    <t>1/2</t>
  </si>
  <si>
    <t>Beginning Food Service Fund equity restated to reflect audit adjustments from FY20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</si>
</sst>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13" fillId="0" borderId="0" xfId="0" applyFont="1" applyProtection="1">
      <protection locked="0"/>
    </xf>
    <xf numFmtId="1" fontId="0" fillId="0" borderId="0" xfId="0" quotePrefix="1" applyNumberFormat="1" applyBorder="1" applyAlignment="1" applyProtection="1">
      <alignment horizontal="right"/>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1678</v>
      </c>
      <c r="B2" s="21">
        <v>174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2796231.02+580759.37+1750-0.01</f>
        <v>3378740.3800000004</v>
      </c>
      <c r="G9" s="18"/>
      <c r="H9" s="18">
        <v>202294.56</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3024.35</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319499.49</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78742.94</v>
      </c>
      <c r="G13" s="18">
        <v>169771.51</v>
      </c>
      <c r="H13" s="18">
        <v>416289.91</v>
      </c>
      <c r="I13" s="18"/>
      <c r="J13" s="67">
        <f>SUM(I443)</f>
        <v>2899419.63</v>
      </c>
      <c r="K13" s="24" t="s">
        <v>288</v>
      </c>
      <c r="L13" s="24" t="s">
        <v>288</v>
      </c>
      <c r="M13" s="8"/>
      <c r="N13" s="264"/>
    </row>
    <row r="14" spans="1:14" s="3" customFormat="1" ht="12.2" customHeight="1" x14ac:dyDescent="0.15">
      <c r="A14" s="1" t="s">
        <v>565</v>
      </c>
      <c r="B14" s="2" t="s">
        <v>289</v>
      </c>
      <c r="C14" s="6">
        <v>6</v>
      </c>
      <c r="D14" s="2" t="s">
        <v>428</v>
      </c>
      <c r="E14" s="6">
        <v>150</v>
      </c>
      <c r="F14" s="18">
        <v>115412.71</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20554.64</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3895419.8700000006</v>
      </c>
      <c r="G19" s="41">
        <f>SUM(G9:G18)</f>
        <v>190326.15000000002</v>
      </c>
      <c r="H19" s="41">
        <f>SUM(H9:H18)</f>
        <v>618584.47</v>
      </c>
      <c r="I19" s="41">
        <f>SUM(I9:I18)</f>
        <v>0</v>
      </c>
      <c r="J19" s="41">
        <f>SUM(J9:J18)</f>
        <v>2899419.63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70292.070000000007</v>
      </c>
      <c r="H22" s="18">
        <v>252483.6</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797945.73</v>
      </c>
      <c r="G24" s="18">
        <v>68367.100000000006</v>
      </c>
      <c r="H24" s="18">
        <v>799</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1560280.71</v>
      </c>
      <c r="G28" s="18"/>
      <c r="H28" s="18">
        <v>55603.35</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13115.44</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2358226.44</v>
      </c>
      <c r="G32" s="41">
        <f>SUM(G22:G31)</f>
        <v>151774.61000000002</v>
      </c>
      <c r="H32" s="41">
        <f>SUM(H22:H31)</f>
        <v>308885.95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20554.64</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17996.900000000001</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309698.52</v>
      </c>
      <c r="I48" s="18"/>
      <c r="J48" s="13">
        <f>SUM(I460)</f>
        <v>2899419.63</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934609.28+31125855.24-30523271.09</f>
        <v>1537193.4299999997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1537193.4299999997</v>
      </c>
      <c r="G51" s="41">
        <f>SUM(G35:G50)</f>
        <v>38551.54</v>
      </c>
      <c r="H51" s="41">
        <f>SUM(H35:H50)</f>
        <v>309698.52</v>
      </c>
      <c r="I51" s="41">
        <f>SUM(I35:I50)</f>
        <v>0</v>
      </c>
      <c r="J51" s="41">
        <f>SUM(J35:J50)</f>
        <v>2899419.63</v>
      </c>
      <c r="K51" s="45" t="s">
        <v>288</v>
      </c>
      <c r="L51" s="45" t="s">
        <v>288</v>
      </c>
      <c r="N51" s="262"/>
    </row>
    <row r="52" spans="1:14" s="3" customFormat="1" ht="12.2" customHeight="1" thickTop="1" x14ac:dyDescent="0.15">
      <c r="A52" s="38" t="s">
        <v>455</v>
      </c>
      <c r="B52" s="39" t="s">
        <v>289</v>
      </c>
      <c r="C52" s="6">
        <v>37</v>
      </c>
      <c r="D52" s="39" t="s">
        <v>653</v>
      </c>
      <c r="E52" s="39"/>
      <c r="F52" s="41">
        <f>F51+F32</f>
        <v>3895419.8699999996</v>
      </c>
      <c r="G52" s="41">
        <f>G51+G32</f>
        <v>190326.15000000002</v>
      </c>
      <c r="H52" s="41">
        <f>H51+H32</f>
        <v>618584.47</v>
      </c>
      <c r="I52" s="41">
        <f>I51+I32</f>
        <v>0</v>
      </c>
      <c r="J52" s="41">
        <f>J51+J32</f>
        <v>2899419.63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17991021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17991021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620449.97</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14165.68</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634615.65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41359.31</v>
      </c>
      <c r="G96" s="18"/>
      <c r="H96" s="18"/>
      <c r="I96" s="18"/>
      <c r="J96" s="18">
        <v>28382.61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9382.9500000000007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67940.61</v>
      </c>
      <c r="G110" s="18"/>
      <c r="H110" s="18">
        <f>96510.6+2487.29</f>
        <v>98997.89</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109299.92</v>
      </c>
      <c r="G111" s="41">
        <f>SUM(G96:G110)</f>
        <v>9382.9500000000007</v>
      </c>
      <c r="H111" s="41">
        <f>SUM(H96:H110)</f>
        <v>98997.89</v>
      </c>
      <c r="I111" s="41">
        <f>SUM(I96:I110)</f>
        <v>0</v>
      </c>
      <c r="J111" s="41">
        <f>SUM(J96:J110)</f>
        <v>28382.61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18734936.57</v>
      </c>
      <c r="G112" s="41">
        <f>G60+G111</f>
        <v>9382.9500000000007</v>
      </c>
      <c r="H112" s="41">
        <f>H60+H79+H94+H111</f>
        <v>98997.89</v>
      </c>
      <c r="I112" s="41">
        <f>I60+I111</f>
        <v>0</v>
      </c>
      <c r="J112" s="41">
        <f>J60+J111</f>
        <v>28382.61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9677668.3100000005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2023603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4652.83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11705924.140000001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57038.49</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170711.1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95256.02</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21497.41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13511.05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344503.01999999996</v>
      </c>
      <c r="G136" s="41">
        <f>SUM(G123:G135)</f>
        <v>13511.05</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12050427.16</v>
      </c>
      <c r="G140" s="41">
        <f>G121+SUM(G136:G137)</f>
        <v>13511.05</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422495.84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81466.58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62947.28</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814751.14+28131.84</f>
        <v>842882.98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463414.41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212130.29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300673.53999999998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75497.91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212130.29</v>
      </c>
      <c r="G163" s="41">
        <f>SUM(G150:G162)</f>
        <v>842882.98</v>
      </c>
      <c r="H163" s="41">
        <f>SUM(H150:H162)</f>
        <v>1406495.56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212130.29</v>
      </c>
      <c r="G170" s="41">
        <f>G147+G163+SUM(G164:G169)</f>
        <v>842882.98</v>
      </c>
      <c r="H170" s="41">
        <f>H147+H163+SUM(H164:H169)</f>
        <v>1406495.56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500000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128361.22</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128361.22</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128361.22</v>
      </c>
      <c r="G193" s="41">
        <f>G184+SUM(G189:G192)</f>
        <v>0</v>
      </c>
      <c r="H193" s="41">
        <f>+H184+SUM(H189:H192)</f>
        <v>0</v>
      </c>
      <c r="I193" s="41">
        <f>I178+I184+SUM(I189:I192)</f>
        <v>0</v>
      </c>
      <c r="J193" s="41">
        <f>J184</f>
        <v>500000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31125855.239999998</v>
      </c>
      <c r="G194" s="47">
        <f>G112+G140+G170+G193</f>
        <v>865776.98</v>
      </c>
      <c r="H194" s="47">
        <f>H112+H140+H170+H193</f>
        <v>1505493.45</v>
      </c>
      <c r="I194" s="47">
        <f>I112+I140+I170+I193</f>
        <v>0</v>
      </c>
      <c r="J194" s="47">
        <f>J112+J140+J193</f>
        <v>528382.61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4882765.97</v>
      </c>
      <c r="G198" s="18">
        <v>2640886.6</v>
      </c>
      <c r="H198" s="18">
        <v>13086.35</v>
      </c>
      <c r="I198" s="18">
        <v>265260.53999999998</v>
      </c>
      <c r="J198" s="18">
        <v>51960.74</v>
      </c>
      <c r="K198" s="18">
        <v>3263.28</v>
      </c>
      <c r="L198" s="19">
        <f>SUM(F198:K198)</f>
        <v>7857223.4800000004</v>
      </c>
      <c r="M198" s="8"/>
      <c r="N198" s="264"/>
    </row>
    <row r="199" spans="1:14" s="3" customFormat="1" ht="12.2" customHeight="1" x14ac:dyDescent="0.15">
      <c r="A199" s="1" t="s">
        <v>439</v>
      </c>
      <c r="B199" s="2" t="s">
        <v>341</v>
      </c>
      <c r="C199" s="2" t="s">
        <v>291</v>
      </c>
      <c r="D199" s="2" t="s">
        <v>431</v>
      </c>
      <c r="E199" s="6">
        <v>1200</v>
      </c>
      <c r="F199" s="18">
        <v>2891791.45</v>
      </c>
      <c r="G199" s="18">
        <v>1177812.03</v>
      </c>
      <c r="H199" s="18">
        <v>578307.49</v>
      </c>
      <c r="I199" s="18">
        <v>16596.52</v>
      </c>
      <c r="J199" s="18">
        <v>3297.47</v>
      </c>
      <c r="K199" s="18">
        <v>1296.06</v>
      </c>
      <c r="L199" s="19">
        <f>SUM(F199:K199)</f>
        <v>4669101.0199999996</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60354.63</v>
      </c>
      <c r="G201" s="18">
        <v>9619.68</v>
      </c>
      <c r="H201" s="18">
        <v>4209.41</v>
      </c>
      <c r="I201" s="18">
        <v>12304.64</v>
      </c>
      <c r="J201" s="18">
        <v>7213.77</v>
      </c>
      <c r="K201" s="18"/>
      <c r="L201" s="19">
        <f>SUM(F201:K201)</f>
        <v>93702.13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658225.84</v>
      </c>
      <c r="G203" s="18">
        <v>348364.82</v>
      </c>
      <c r="H203" s="18">
        <v>11700.41</v>
      </c>
      <c r="I203" s="18">
        <v>13672.89</v>
      </c>
      <c r="J203" s="18">
        <v>633.97</v>
      </c>
      <c r="K203" s="18"/>
      <c r="L203" s="19">
        <f t="shared" ref="L203:L209" si="0">SUM(F203:K203)</f>
        <v>1032597.9299999999</v>
      </c>
      <c r="M203" s="8"/>
      <c r="N203" s="264"/>
    </row>
    <row r="204" spans="1:14" s="3" customFormat="1" ht="12.2" customHeight="1" x14ac:dyDescent="0.15">
      <c r="A204" s="1" t="s">
        <v>443</v>
      </c>
      <c r="B204" s="2" t="s">
        <v>341</v>
      </c>
      <c r="C204" s="2" t="s">
        <v>295</v>
      </c>
      <c r="D204" s="2" t="s">
        <v>431</v>
      </c>
      <c r="E204" s="6">
        <v>2200</v>
      </c>
      <c r="F204" s="18">
        <v>518816.08</v>
      </c>
      <c r="G204" s="18">
        <v>224135</v>
      </c>
      <c r="H204" s="18">
        <v>95228.2</v>
      </c>
      <c r="I204" s="18">
        <v>81560.67</v>
      </c>
      <c r="J204" s="18">
        <v>36403.440000000002</v>
      </c>
      <c r="K204" s="18">
        <v>8738.43</v>
      </c>
      <c r="L204" s="19">
        <f t="shared" si="0"/>
        <v>964881.82000000018</v>
      </c>
      <c r="M204" s="8"/>
      <c r="N204" s="264"/>
    </row>
    <row r="205" spans="1:14" s="3" customFormat="1" ht="12.2" customHeight="1" x14ac:dyDescent="0.15">
      <c r="A205" s="1" t="s">
        <v>444</v>
      </c>
      <c r="B205" s="2" t="s">
        <v>341</v>
      </c>
      <c r="C205" s="2" t="s">
        <v>296</v>
      </c>
      <c r="D205" s="2" t="s">
        <v>431</v>
      </c>
      <c r="E205" s="6">
        <v>2300</v>
      </c>
      <c r="F205" s="18">
        <v>191853.47</v>
      </c>
      <c r="G205" s="18">
        <v>75148.899999999994</v>
      </c>
      <c r="H205" s="18">
        <v>106609.91</v>
      </c>
      <c r="I205" s="18">
        <v>16456.48</v>
      </c>
      <c r="J205" s="18">
        <v>1450.23</v>
      </c>
      <c r="K205" s="18">
        <v>5443.34</v>
      </c>
      <c r="L205" s="19">
        <f t="shared" si="0"/>
        <v>396962.33</v>
      </c>
      <c r="M205" s="8"/>
      <c r="N205" s="264"/>
    </row>
    <row r="206" spans="1:14" s="3" customFormat="1" ht="12.2" customHeight="1" x14ac:dyDescent="0.15">
      <c r="A206" s="1" t="s">
        <v>445</v>
      </c>
      <c r="B206" s="2" t="s">
        <v>341</v>
      </c>
      <c r="C206" s="2" t="s">
        <v>297</v>
      </c>
      <c r="D206" s="2" t="s">
        <v>431</v>
      </c>
      <c r="E206" s="6">
        <v>2400</v>
      </c>
      <c r="F206" s="18">
        <v>828930.93</v>
      </c>
      <c r="G206" s="18">
        <v>329210.84999999998</v>
      </c>
      <c r="H206" s="18">
        <v>53411.93</v>
      </c>
      <c r="I206" s="18">
        <v>14230.81</v>
      </c>
      <c r="J206" s="18">
        <v>5915.52</v>
      </c>
      <c r="K206" s="18">
        <v>2556</v>
      </c>
      <c r="L206" s="19">
        <f t="shared" si="0"/>
        <v>1234256.04</v>
      </c>
      <c r="M206" s="8"/>
      <c r="N206" s="264"/>
    </row>
    <row r="207" spans="1:14" s="3" customFormat="1" ht="12.2" customHeight="1" x14ac:dyDescent="0.15">
      <c r="A207" s="1" t="s">
        <v>446</v>
      </c>
      <c r="B207" s="2" t="s">
        <v>341</v>
      </c>
      <c r="C207" s="2" t="s">
        <v>298</v>
      </c>
      <c r="D207" s="2" t="s">
        <v>431</v>
      </c>
      <c r="E207" s="6">
        <v>2500</v>
      </c>
      <c r="F207" s="18">
        <v>174575.73</v>
      </c>
      <c r="G207" s="18">
        <v>75502.429999999993</v>
      </c>
      <c r="H207" s="18">
        <v>1766.92</v>
      </c>
      <c r="I207" s="18">
        <v>18947.849999999999</v>
      </c>
      <c r="J207" s="18">
        <v>1565.12</v>
      </c>
      <c r="K207" s="18">
        <v>326.68</v>
      </c>
      <c r="L207" s="19">
        <f t="shared" si="0"/>
        <v>272684.73</v>
      </c>
      <c r="M207" s="8"/>
      <c r="N207" s="264"/>
    </row>
    <row r="208" spans="1:14" s="3" customFormat="1" ht="12.2" customHeight="1" x14ac:dyDescent="0.15">
      <c r="A208" s="1" t="s">
        <v>447</v>
      </c>
      <c r="B208" s="2" t="s">
        <v>341</v>
      </c>
      <c r="C208" s="2" t="s">
        <v>299</v>
      </c>
      <c r="D208" s="2" t="s">
        <v>431</v>
      </c>
      <c r="E208" s="6">
        <v>2600</v>
      </c>
      <c r="F208" s="18">
        <v>714663.46</v>
      </c>
      <c r="G208" s="18">
        <v>332379.86</v>
      </c>
      <c r="H208" s="18">
        <v>607329.86</v>
      </c>
      <c r="I208" s="18">
        <v>341774.78</v>
      </c>
      <c r="J208" s="18">
        <v>12223.54</v>
      </c>
      <c r="K208" s="18">
        <v>166.15</v>
      </c>
      <c r="L208" s="19">
        <f t="shared" si="0"/>
        <v>2008537.65</v>
      </c>
      <c r="M208" s="8"/>
      <c r="N208" s="264"/>
    </row>
    <row r="209" spans="1:14" s="3" customFormat="1" ht="12.2" customHeight="1" x14ac:dyDescent="0.15">
      <c r="A209" s="1" t="s">
        <v>448</v>
      </c>
      <c r="B209" s="2" t="s">
        <v>341</v>
      </c>
      <c r="C209" s="2" t="s">
        <v>300</v>
      </c>
      <c r="D209" s="2" t="s">
        <v>431</v>
      </c>
      <c r="E209" s="6">
        <v>2700</v>
      </c>
      <c r="F209" s="18">
        <v>386053.1</v>
      </c>
      <c r="G209" s="18">
        <v>87012.95</v>
      </c>
      <c r="H209" s="18">
        <v>259751.06</v>
      </c>
      <c r="I209" s="18">
        <v>68433.789999999994</v>
      </c>
      <c r="J209" s="18">
        <v>9792.44</v>
      </c>
      <c r="K209" s="18"/>
      <c r="L209" s="19">
        <f t="shared" si="0"/>
        <v>811043.34</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11308030.660000002</v>
      </c>
      <c r="G212" s="41">
        <f t="shared" si="1"/>
        <v>5300073.12</v>
      </c>
      <c r="H212" s="41">
        <f t="shared" si="1"/>
        <v>1731401.54</v>
      </c>
      <c r="I212" s="41">
        <f t="shared" si="1"/>
        <v>849238.97</v>
      </c>
      <c r="J212" s="41">
        <f t="shared" si="1"/>
        <v>130456.23999999999</v>
      </c>
      <c r="K212" s="41">
        <f t="shared" si="1"/>
        <v>21789.940000000002</v>
      </c>
      <c r="L212" s="41">
        <f t="shared" si="1"/>
        <v>19340990.469999999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2057764.75</v>
      </c>
      <c r="G234" s="18">
        <v>1031603.1</v>
      </c>
      <c r="H234" s="18">
        <v>25767.83</v>
      </c>
      <c r="I234" s="18">
        <v>4144.1400000000003</v>
      </c>
      <c r="J234" s="18">
        <v>30653.41</v>
      </c>
      <c r="K234" s="18">
        <v>10534.66</v>
      </c>
      <c r="L234" s="19">
        <f>SUM(F234:K234)</f>
        <v>3160467.8900000006</v>
      </c>
      <c r="M234" s="8"/>
      <c r="N234" s="264"/>
    </row>
    <row r="235" spans="1:14" s="3" customFormat="1" ht="12.2" customHeight="1" x14ac:dyDescent="0.15">
      <c r="A235" s="1" t="s">
        <v>439</v>
      </c>
      <c r="B235" s="2" t="s">
        <v>350</v>
      </c>
      <c r="C235" s="2" t="s">
        <v>291</v>
      </c>
      <c r="D235" s="2" t="s">
        <v>431</v>
      </c>
      <c r="E235" s="6">
        <v>1200</v>
      </c>
      <c r="F235" s="18">
        <v>1230945.68</v>
      </c>
      <c r="G235" s="18">
        <v>587222.80000000005</v>
      </c>
      <c r="H235" s="18">
        <v>288798.2</v>
      </c>
      <c r="I235" s="18">
        <v>10920.58</v>
      </c>
      <c r="J235" s="18">
        <v>3467.38</v>
      </c>
      <c r="K235" s="18">
        <v>739.99</v>
      </c>
      <c r="L235" s="19">
        <f>SUM(F235:K235)</f>
        <v>2122094.6300000004</v>
      </c>
      <c r="M235" s="8"/>
      <c r="N235" s="264"/>
    </row>
    <row r="236" spans="1:14" s="3" customFormat="1" ht="12.2" customHeight="1" x14ac:dyDescent="0.15">
      <c r="A236" s="1" t="s">
        <v>440</v>
      </c>
      <c r="B236" s="2" t="s">
        <v>350</v>
      </c>
      <c r="C236" s="2" t="s">
        <v>292</v>
      </c>
      <c r="D236" s="2" t="s">
        <v>431</v>
      </c>
      <c r="E236" s="6">
        <v>1300</v>
      </c>
      <c r="F236" s="18">
        <v>317164.90000000002</v>
      </c>
      <c r="G236" s="18">
        <v>126395.7</v>
      </c>
      <c r="H236" s="18">
        <v>183760.98</v>
      </c>
      <c r="I236" s="18">
        <v>36397.85</v>
      </c>
      <c r="J236" s="18">
        <v>19820.16</v>
      </c>
      <c r="K236" s="18">
        <v>160</v>
      </c>
      <c r="L236" s="19">
        <f>SUM(F236:K236)</f>
        <v>683699.59000000008</v>
      </c>
      <c r="M236" s="8"/>
      <c r="N236" s="264"/>
    </row>
    <row r="237" spans="1:14" s="3" customFormat="1" ht="12.2" customHeight="1" x14ac:dyDescent="0.15">
      <c r="A237" s="1" t="s">
        <v>441</v>
      </c>
      <c r="B237" s="2" t="s">
        <v>350</v>
      </c>
      <c r="C237" s="2" t="s">
        <v>293</v>
      </c>
      <c r="D237" s="2" t="s">
        <v>431</v>
      </c>
      <c r="E237" s="6">
        <v>1400</v>
      </c>
      <c r="F237" s="18">
        <v>175095.54</v>
      </c>
      <c r="G237" s="18">
        <v>51122.06</v>
      </c>
      <c r="H237" s="18">
        <v>46503.78</v>
      </c>
      <c r="I237" s="18">
        <v>14870.04</v>
      </c>
      <c r="J237" s="18">
        <v>14103.69</v>
      </c>
      <c r="K237" s="18">
        <v>4585</v>
      </c>
      <c r="L237" s="19">
        <f>SUM(F237:K237)</f>
        <v>306280.11</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346870.88</v>
      </c>
      <c r="G239" s="18">
        <v>201213.21</v>
      </c>
      <c r="H239" s="18">
        <v>69959.960000000006</v>
      </c>
      <c r="I239" s="18">
        <v>5628.82</v>
      </c>
      <c r="J239" s="18">
        <v>3210</v>
      </c>
      <c r="K239" s="18">
        <v>637</v>
      </c>
      <c r="L239" s="19">
        <f t="shared" ref="L239:L245" si="4">SUM(F239:K239)</f>
        <v>627519.86999999988</v>
      </c>
      <c r="M239" s="8"/>
      <c r="N239" s="264"/>
    </row>
    <row r="240" spans="1:14" s="3" customFormat="1" ht="12.2" customHeight="1" x14ac:dyDescent="0.15">
      <c r="A240" s="1" t="s">
        <v>443</v>
      </c>
      <c r="B240" s="2" t="s">
        <v>350</v>
      </c>
      <c r="C240" s="2" t="s">
        <v>295</v>
      </c>
      <c r="D240" s="2" t="s">
        <v>431</v>
      </c>
      <c r="E240" s="6">
        <v>2200</v>
      </c>
      <c r="F240" s="18">
        <v>270807.42</v>
      </c>
      <c r="G240" s="18">
        <v>110556.78</v>
      </c>
      <c r="H240" s="18">
        <v>49772.94</v>
      </c>
      <c r="I240" s="18">
        <v>59440.06</v>
      </c>
      <c r="J240" s="18">
        <v>42909.09</v>
      </c>
      <c r="K240" s="18">
        <v>4795.07</v>
      </c>
      <c r="L240" s="19">
        <f t="shared" si="4"/>
        <v>538281.35999999987</v>
      </c>
      <c r="M240" s="8"/>
      <c r="N240" s="264"/>
    </row>
    <row r="241" spans="1:14" s="3" customFormat="1" ht="12.2" customHeight="1" x14ac:dyDescent="0.15">
      <c r="A241" s="1" t="s">
        <v>444</v>
      </c>
      <c r="B241" s="2" t="s">
        <v>350</v>
      </c>
      <c r="C241" s="2" t="s">
        <v>296</v>
      </c>
      <c r="D241" s="2" t="s">
        <v>431</v>
      </c>
      <c r="E241" s="6">
        <v>2300</v>
      </c>
      <c r="F241" s="18">
        <v>95912.35</v>
      </c>
      <c r="G241" s="18">
        <v>37568.82</v>
      </c>
      <c r="H241" s="18">
        <v>53296.959999999999</v>
      </c>
      <c r="I241" s="18">
        <v>8227</v>
      </c>
      <c r="J241" s="18">
        <v>725</v>
      </c>
      <c r="K241" s="18">
        <v>2721.26</v>
      </c>
      <c r="L241" s="19">
        <f t="shared" si="4"/>
        <v>198451.39</v>
      </c>
      <c r="M241" s="8"/>
      <c r="N241" s="264"/>
    </row>
    <row r="242" spans="1:14" s="3" customFormat="1" ht="12.2" customHeight="1" x14ac:dyDescent="0.15">
      <c r="A242" s="1" t="s">
        <v>445</v>
      </c>
      <c r="B242" s="2" t="s">
        <v>350</v>
      </c>
      <c r="C242" s="2" t="s">
        <v>297</v>
      </c>
      <c r="D242" s="2" t="s">
        <v>431</v>
      </c>
      <c r="E242" s="6">
        <v>2400</v>
      </c>
      <c r="F242" s="18">
        <v>315839.35999999999</v>
      </c>
      <c r="G242" s="18">
        <v>158889.60999999999</v>
      </c>
      <c r="H242" s="18">
        <v>12703.22</v>
      </c>
      <c r="I242" s="18">
        <v>3553.42</v>
      </c>
      <c r="J242" s="18">
        <v>6493.68</v>
      </c>
      <c r="K242" s="18">
        <v>2040</v>
      </c>
      <c r="L242" s="19">
        <f t="shared" si="4"/>
        <v>499519.28999999992</v>
      </c>
      <c r="M242" s="8"/>
      <c r="N242" s="264"/>
    </row>
    <row r="243" spans="1:14" s="3" customFormat="1" ht="12.2" customHeight="1" x14ac:dyDescent="0.15">
      <c r="A243" s="1" t="s">
        <v>446</v>
      </c>
      <c r="B243" s="2" t="s">
        <v>350</v>
      </c>
      <c r="C243" s="2" t="s">
        <v>298</v>
      </c>
      <c r="D243" s="2" t="s">
        <v>431</v>
      </c>
      <c r="E243" s="6">
        <v>2500</v>
      </c>
      <c r="F243" s="18">
        <v>87274.77</v>
      </c>
      <c r="G243" s="18">
        <v>37745.550000000003</v>
      </c>
      <c r="H243" s="18">
        <v>883.33</v>
      </c>
      <c r="I243" s="18">
        <v>9472.5</v>
      </c>
      <c r="J243" s="18">
        <v>782.45</v>
      </c>
      <c r="K243" s="18">
        <v>163.32</v>
      </c>
      <c r="L243" s="19">
        <f t="shared" si="4"/>
        <v>136321.92000000004</v>
      </c>
      <c r="M243" s="8"/>
      <c r="N243" s="264"/>
    </row>
    <row r="244" spans="1:14" s="3" customFormat="1" ht="12.2" customHeight="1" x14ac:dyDescent="0.15">
      <c r="A244" s="1" t="s">
        <v>447</v>
      </c>
      <c r="B244" s="2" t="s">
        <v>350</v>
      </c>
      <c r="C244" s="2" t="s">
        <v>299</v>
      </c>
      <c r="D244" s="2" t="s">
        <v>431</v>
      </c>
      <c r="E244" s="6">
        <v>2600</v>
      </c>
      <c r="F244" s="18">
        <v>383526.35</v>
      </c>
      <c r="G244" s="18">
        <v>176496.4</v>
      </c>
      <c r="H244" s="18">
        <v>229932.86</v>
      </c>
      <c r="I244" s="18">
        <v>173092.06</v>
      </c>
      <c r="J244" s="18">
        <v>4050.84</v>
      </c>
      <c r="K244" s="18">
        <v>94.89</v>
      </c>
      <c r="L244" s="19">
        <f t="shared" si="4"/>
        <v>967193.39999999991</v>
      </c>
      <c r="M244" s="8"/>
      <c r="N244" s="264"/>
    </row>
    <row r="245" spans="1:14" s="3" customFormat="1" ht="12.2" customHeight="1" x14ac:dyDescent="0.15">
      <c r="A245" s="1" t="s">
        <v>448</v>
      </c>
      <c r="B245" s="2" t="s">
        <v>350</v>
      </c>
      <c r="C245" s="2" t="s">
        <v>300</v>
      </c>
      <c r="D245" s="2" t="s">
        <v>431</v>
      </c>
      <c r="E245" s="6">
        <v>2700</v>
      </c>
      <c r="F245" s="18">
        <v>242761.42</v>
      </c>
      <c r="G245" s="18">
        <v>52898.81</v>
      </c>
      <c r="H245" s="18">
        <v>147053.75</v>
      </c>
      <c r="I245" s="18">
        <v>39081.980000000003</v>
      </c>
      <c r="J245" s="18">
        <v>5592.39</v>
      </c>
      <c r="K245" s="18"/>
      <c r="L245" s="19">
        <f t="shared" si="4"/>
        <v>487388.35</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5523963.419999999</v>
      </c>
      <c r="G248" s="41">
        <f t="shared" si="5"/>
        <v>2571712.8399999994</v>
      </c>
      <c r="H248" s="41">
        <f t="shared" si="5"/>
        <v>1108433.8099999998</v>
      </c>
      <c r="I248" s="41">
        <f t="shared" si="5"/>
        <v>364828.44999999995</v>
      </c>
      <c r="J248" s="41">
        <f t="shared" si="5"/>
        <v>131808.09</v>
      </c>
      <c r="K248" s="41">
        <f t="shared" si="5"/>
        <v>26471.190000000002</v>
      </c>
      <c r="L248" s="41">
        <f t="shared" si="5"/>
        <v>9727217.8000000007</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839662.82</v>
      </c>
      <c r="I256" s="18"/>
      <c r="J256" s="18"/>
      <c r="K256" s="18"/>
      <c r="L256" s="19">
        <f t="shared" si="6"/>
        <v>839662.82</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839662.82</v>
      </c>
      <c r="I257" s="41">
        <f t="shared" si="7"/>
        <v>0</v>
      </c>
      <c r="J257" s="41">
        <f t="shared" si="7"/>
        <v>0</v>
      </c>
      <c r="K257" s="41">
        <f t="shared" si="7"/>
        <v>0</v>
      </c>
      <c r="L257" s="41">
        <f>SUM(F257:K257)</f>
        <v>839662.82</v>
      </c>
      <c r="M257" s="8"/>
      <c r="N257" s="264"/>
    </row>
    <row r="258" spans="1:14" s="3" customFormat="1" ht="12.2" customHeight="1" thickTop="1" x14ac:dyDescent="0.15">
      <c r="A258" s="38" t="s">
        <v>462</v>
      </c>
      <c r="B258" s="40">
        <v>10</v>
      </c>
      <c r="C258" s="40">
        <v>8</v>
      </c>
      <c r="D258" s="39" t="s">
        <v>431</v>
      </c>
      <c r="E258" s="40"/>
      <c r="F258" s="41">
        <f t="shared" ref="F258:L258" si="8">F212+F230+F248+F257</f>
        <v>16831994.080000002</v>
      </c>
      <c r="G258" s="41">
        <f t="shared" si="8"/>
        <v>7871785.959999999</v>
      </c>
      <c r="H258" s="41">
        <f t="shared" si="8"/>
        <v>3679498.1699999995</v>
      </c>
      <c r="I258" s="41">
        <f t="shared" si="8"/>
        <v>1214067.42</v>
      </c>
      <c r="J258" s="41">
        <f t="shared" si="8"/>
        <v>262264.32999999996</v>
      </c>
      <c r="K258" s="41">
        <f t="shared" si="8"/>
        <v>48261.130000000005</v>
      </c>
      <c r="L258" s="41">
        <f t="shared" si="8"/>
        <v>29907871.09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100000</v>
      </c>
      <c r="L261" s="19">
        <f>SUM(F261:K261)</f>
        <v>100000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15400</v>
      </c>
      <c r="L262" s="19">
        <f>SUM(F262:K262)</f>
        <v>15400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500000</v>
      </c>
      <c r="L267" s="19">
        <f t="shared" si="9"/>
        <v>500000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615400</v>
      </c>
      <c r="L271" s="41">
        <f t="shared" si="9"/>
        <v>615400</v>
      </c>
      <c r="M271" s="8"/>
      <c r="N271" s="264"/>
    </row>
    <row r="272" spans="1:14" s="34" customFormat="1" ht="12.2" customHeight="1" thickTop="1" x14ac:dyDescent="0.2">
      <c r="A272" s="43" t="s">
        <v>464</v>
      </c>
      <c r="B272" s="40">
        <v>10</v>
      </c>
      <c r="C272" s="40">
        <v>18</v>
      </c>
      <c r="D272" s="39" t="s">
        <v>431</v>
      </c>
      <c r="E272" s="40"/>
      <c r="F272" s="42">
        <f t="shared" ref="F272:L272" si="11">F258+F271</f>
        <v>16831994.080000002</v>
      </c>
      <c r="G272" s="42">
        <f t="shared" si="11"/>
        <v>7871785.959999999</v>
      </c>
      <c r="H272" s="42">
        <f t="shared" si="11"/>
        <v>3679498.1699999995</v>
      </c>
      <c r="I272" s="42">
        <f t="shared" si="11"/>
        <v>1214067.42</v>
      </c>
      <c r="J272" s="42">
        <f t="shared" si="11"/>
        <v>262264.32999999996</v>
      </c>
      <c r="K272" s="42">
        <f t="shared" si="11"/>
        <v>663661.13</v>
      </c>
      <c r="L272" s="42">
        <f t="shared" si="11"/>
        <v>30523271.09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269776.14</v>
      </c>
      <c r="G277" s="18">
        <v>126493.79</v>
      </c>
      <c r="H277" s="18">
        <v>8392.09</v>
      </c>
      <c r="I277" s="18">
        <f>74350.24+32203.16</f>
        <v>106553.40000000001</v>
      </c>
      <c r="J277" s="18">
        <f>12452.77+8773.77</f>
        <v>21226.54</v>
      </c>
      <c r="K277" s="18">
        <v>16708.36</v>
      </c>
      <c r="L277" s="19">
        <f>SUM(F277:K277)</f>
        <v>549150.32000000007</v>
      </c>
      <c r="M277" s="8"/>
      <c r="N277" s="264"/>
    </row>
    <row r="278" spans="1:14" s="3" customFormat="1" ht="12.2" customHeight="1" x14ac:dyDescent="0.15">
      <c r="A278" s="1" t="s">
        <v>439</v>
      </c>
      <c r="B278" s="2" t="s">
        <v>357</v>
      </c>
      <c r="C278" s="2" t="s">
        <v>291</v>
      </c>
      <c r="D278" s="2" t="s">
        <v>431</v>
      </c>
      <c r="E278" s="6">
        <v>1200</v>
      </c>
      <c r="F278" s="18"/>
      <c r="G278" s="18"/>
      <c r="H278" s="18">
        <v>3348.97</v>
      </c>
      <c r="I278" s="18">
        <v>14136.33</v>
      </c>
      <c r="J278" s="18">
        <v>4593.1400000000003</v>
      </c>
      <c r="K278" s="18"/>
      <c r="L278" s="19">
        <f>SUM(F278:K278)</f>
        <v>22078.44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17121.18</v>
      </c>
      <c r="G280" s="18">
        <v>3831.97</v>
      </c>
      <c r="H280" s="18"/>
      <c r="I280" s="18">
        <v>1478.97</v>
      </c>
      <c r="J280" s="18"/>
      <c r="K280" s="18"/>
      <c r="L280" s="19">
        <f>SUM(F280:K280)</f>
        <v>22432.120000000003</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126055.59</v>
      </c>
      <c r="G282" s="18">
        <v>52617.98</v>
      </c>
      <c r="H282" s="18">
        <v>48166.67</v>
      </c>
      <c r="I282" s="18">
        <v>1541.87</v>
      </c>
      <c r="J282" s="18">
        <v>5068.13</v>
      </c>
      <c r="K282" s="18"/>
      <c r="L282" s="19">
        <f t="shared" ref="L282:L288" si="12">SUM(F282:K282)</f>
        <v>233450.23999999999</v>
      </c>
      <c r="M282" s="8"/>
      <c r="N282" s="264"/>
    </row>
    <row r="283" spans="1:14" s="3" customFormat="1" ht="12.2" customHeight="1" x14ac:dyDescent="0.15">
      <c r="A283" s="1" t="s">
        <v>443</v>
      </c>
      <c r="B283" s="2" t="s">
        <v>357</v>
      </c>
      <c r="C283" s="2" t="s">
        <v>295</v>
      </c>
      <c r="D283" s="2" t="s">
        <v>431</v>
      </c>
      <c r="E283" s="6">
        <v>2200</v>
      </c>
      <c r="F283" s="18">
        <v>33342.85</v>
      </c>
      <c r="G283" s="18">
        <v>8591.81</v>
      </c>
      <c r="H283" s="18">
        <v>53509.3</v>
      </c>
      <c r="I283" s="18">
        <v>13334</v>
      </c>
      <c r="J283" s="18">
        <v>42706.54</v>
      </c>
      <c r="K283" s="18">
        <v>2426.67</v>
      </c>
      <c r="L283" s="19">
        <f t="shared" si="12"/>
        <v>153911.17000000001</v>
      </c>
      <c r="M283" s="8"/>
      <c r="N283" s="264"/>
    </row>
    <row r="284" spans="1:14" s="3" customFormat="1" ht="12.2" customHeight="1" x14ac:dyDescent="0.15">
      <c r="A284" s="1" t="s">
        <v>444</v>
      </c>
      <c r="B284" s="2" t="s">
        <v>357</v>
      </c>
      <c r="C284" s="2" t="s">
        <v>296</v>
      </c>
      <c r="D284" s="2" t="s">
        <v>431</v>
      </c>
      <c r="E284" s="6">
        <v>2300</v>
      </c>
      <c r="F284" s="18">
        <v>21462.62</v>
      </c>
      <c r="G284" s="18">
        <v>7966.59</v>
      </c>
      <c r="H284" s="18">
        <v>24.95</v>
      </c>
      <c r="I284" s="18"/>
      <c r="J284" s="18"/>
      <c r="K284" s="18"/>
      <c r="L284" s="19">
        <f t="shared" si="12"/>
        <v>29454.16</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v>1548.24</v>
      </c>
      <c r="G286" s="18">
        <v>577.23</v>
      </c>
      <c r="H286" s="18"/>
      <c r="I286" s="18"/>
      <c r="J286" s="18"/>
      <c r="K286" s="18"/>
      <c r="L286" s="19">
        <f t="shared" si="12"/>
        <v>2125.4700000000003</v>
      </c>
      <c r="M286" s="8"/>
      <c r="N286" s="264"/>
    </row>
    <row r="287" spans="1:14" s="3" customFormat="1" ht="12.2" customHeight="1" x14ac:dyDescent="0.15">
      <c r="A287" s="1" t="s">
        <v>447</v>
      </c>
      <c r="B287" s="2" t="s">
        <v>357</v>
      </c>
      <c r="C287" s="2" t="s">
        <v>299</v>
      </c>
      <c r="D287" s="2" t="s">
        <v>431</v>
      </c>
      <c r="E287" s="6">
        <v>2600</v>
      </c>
      <c r="F287" s="18"/>
      <c r="G287" s="18"/>
      <c r="H287" s="18"/>
      <c r="I287" s="18">
        <f>4761.11+70007.96</f>
        <v>74769.070000000007</v>
      </c>
      <c r="J287" s="18"/>
      <c r="K287" s="18"/>
      <c r="L287" s="19">
        <f t="shared" si="12"/>
        <v>74769.070000000007</v>
      </c>
      <c r="M287" s="8"/>
      <c r="N287" s="264"/>
    </row>
    <row r="288" spans="1:14" s="3" customFormat="1" ht="12.2" customHeight="1" x14ac:dyDescent="0.15">
      <c r="A288" s="1" t="s">
        <v>448</v>
      </c>
      <c r="B288" s="2" t="s">
        <v>357</v>
      </c>
      <c r="C288" s="2" t="s">
        <v>300</v>
      </c>
      <c r="D288" s="2" t="s">
        <v>431</v>
      </c>
      <c r="E288" s="6">
        <v>2700</v>
      </c>
      <c r="F288" s="18"/>
      <c r="G288" s="18"/>
      <c r="H288" s="18">
        <v>2777.54</v>
      </c>
      <c r="I288" s="18">
        <v>3329.47</v>
      </c>
      <c r="J288" s="18">
        <v>15630.63</v>
      </c>
      <c r="K288" s="18"/>
      <c r="L288" s="19">
        <f t="shared" si="12"/>
        <v>21737.64</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469306.62</v>
      </c>
      <c r="G291" s="42">
        <f t="shared" si="13"/>
        <v>200079.37</v>
      </c>
      <c r="H291" s="42">
        <f t="shared" si="13"/>
        <v>116219.51999999999</v>
      </c>
      <c r="I291" s="42">
        <f t="shared" si="13"/>
        <v>215143.11000000002</v>
      </c>
      <c r="J291" s="42">
        <f t="shared" si="13"/>
        <v>89224.98000000001</v>
      </c>
      <c r="K291" s="42">
        <f t="shared" si="13"/>
        <v>19135.03</v>
      </c>
      <c r="L291" s="41">
        <f t="shared" si="13"/>
        <v>1109108.6299999999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v>4195.41</v>
      </c>
      <c r="I315" s="18">
        <f>1229.74+3950+37169.54</f>
        <v>42349.279999999999</v>
      </c>
      <c r="J315" s="18">
        <v>4386.2299999999996</v>
      </c>
      <c r="K315" s="18"/>
      <c r="L315" s="19">
        <f>SUM(F315:K315)</f>
        <v>50930.92</v>
      </c>
      <c r="M315" s="8"/>
      <c r="N315" s="264"/>
    </row>
    <row r="316" spans="1:14" s="3" customFormat="1" ht="12.2" customHeight="1" x14ac:dyDescent="0.15">
      <c r="A316" s="1" t="s">
        <v>439</v>
      </c>
      <c r="B316" s="2" t="s">
        <v>359</v>
      </c>
      <c r="C316" s="2" t="s">
        <v>291</v>
      </c>
      <c r="D316" s="2" t="s">
        <v>431</v>
      </c>
      <c r="E316" s="6">
        <v>1200</v>
      </c>
      <c r="F316" s="18"/>
      <c r="G316" s="18"/>
      <c r="H316" s="18">
        <v>1674.23</v>
      </c>
      <c r="I316" s="18">
        <v>7067.11</v>
      </c>
      <c r="J316" s="18">
        <v>2296.23</v>
      </c>
      <c r="K316" s="18"/>
      <c r="L316" s="19">
        <f>SUM(F316:K316)</f>
        <v>11037.57</v>
      </c>
      <c r="M316" s="8"/>
      <c r="N316" s="264"/>
    </row>
    <row r="317" spans="1:14" s="3" customFormat="1" ht="12.2" customHeight="1" x14ac:dyDescent="0.15">
      <c r="A317" s="1" t="s">
        <v>440</v>
      </c>
      <c r="B317" s="2" t="s">
        <v>359</v>
      </c>
      <c r="C317" s="2" t="s">
        <v>292</v>
      </c>
      <c r="D317" s="2" t="s">
        <v>431</v>
      </c>
      <c r="E317" s="6">
        <v>1300</v>
      </c>
      <c r="F317" s="18">
        <v>35418.67</v>
      </c>
      <c r="G317" s="18">
        <v>4511.2700000000004</v>
      </c>
      <c r="H317" s="18">
        <v>1850</v>
      </c>
      <c r="I317" s="18"/>
      <c r="J317" s="18">
        <v>12481.77</v>
      </c>
      <c r="K317" s="18">
        <v>36.25</v>
      </c>
      <c r="L317" s="19">
        <f>SUM(F317:K317)</f>
        <v>54297.960000000006</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63018.34</v>
      </c>
      <c r="G320" s="18">
        <v>26305.05</v>
      </c>
      <c r="H320" s="18">
        <v>24079.73</v>
      </c>
      <c r="I320" s="18">
        <v>770.82</v>
      </c>
      <c r="J320" s="18">
        <v>2533.6799999999998</v>
      </c>
      <c r="K320" s="18">
        <v>8352.92</v>
      </c>
      <c r="L320" s="19">
        <f t="shared" ref="L320:L326" si="16">SUM(F320:K320)</f>
        <v>125060.54</v>
      </c>
      <c r="M320" s="8"/>
      <c r="N320" s="264"/>
    </row>
    <row r="321" spans="1:14" s="3" customFormat="1" ht="12.2" customHeight="1" x14ac:dyDescent="0.15">
      <c r="A321" s="1" t="s">
        <v>443</v>
      </c>
      <c r="B321" s="2" t="s">
        <v>359</v>
      </c>
      <c r="C321" s="2" t="s">
        <v>295</v>
      </c>
      <c r="D321" s="2" t="s">
        <v>431</v>
      </c>
      <c r="E321" s="6">
        <v>2200</v>
      </c>
      <c r="F321" s="18">
        <v>16668.919999999998</v>
      </c>
      <c r="G321" s="18">
        <v>4295.26</v>
      </c>
      <c r="H321" s="18">
        <v>27000.63</v>
      </c>
      <c r="I321" s="18">
        <v>6779.1</v>
      </c>
      <c r="J321" s="18">
        <v>23921.06</v>
      </c>
      <c r="K321" s="18"/>
      <c r="L321" s="19">
        <f t="shared" si="16"/>
        <v>78664.97</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v>125</v>
      </c>
      <c r="G323" s="18">
        <v>10.28</v>
      </c>
      <c r="H323" s="18"/>
      <c r="I323" s="18">
        <v>1986.64</v>
      </c>
      <c r="J323" s="18"/>
      <c r="K323" s="18"/>
      <c r="L323" s="19">
        <f t="shared" si="16"/>
        <v>2121.92</v>
      </c>
      <c r="M323" s="8"/>
      <c r="N323" s="264"/>
    </row>
    <row r="324" spans="1:14" s="3" customFormat="1" ht="12.2" customHeight="1" x14ac:dyDescent="0.15">
      <c r="A324" s="1" t="s">
        <v>446</v>
      </c>
      <c r="B324" s="2" t="s">
        <v>359</v>
      </c>
      <c r="C324" s="2" t="s">
        <v>298</v>
      </c>
      <c r="D324" s="2" t="s">
        <v>431</v>
      </c>
      <c r="E324" s="6">
        <v>2500</v>
      </c>
      <c r="F324" s="18">
        <v>774</v>
      </c>
      <c r="G324" s="18">
        <v>288.57</v>
      </c>
      <c r="H324" s="18"/>
      <c r="I324" s="18"/>
      <c r="J324" s="18"/>
      <c r="K324" s="18"/>
      <c r="L324" s="19">
        <f t="shared" si="16"/>
        <v>1062.57</v>
      </c>
      <c r="M324" s="8"/>
      <c r="N324" s="264"/>
    </row>
    <row r="325" spans="1:14" s="3" customFormat="1" ht="12.2" customHeight="1" x14ac:dyDescent="0.15">
      <c r="A325" s="1" t="s">
        <v>447</v>
      </c>
      <c r="B325" s="2" t="s">
        <v>359</v>
      </c>
      <c r="C325" s="2" t="s">
        <v>299</v>
      </c>
      <c r="D325" s="2" t="s">
        <v>431</v>
      </c>
      <c r="E325" s="6">
        <v>2600</v>
      </c>
      <c r="F325" s="18"/>
      <c r="G325" s="18"/>
      <c r="H325" s="18"/>
      <c r="I325" s="18">
        <v>34998.730000000003</v>
      </c>
      <c r="J325" s="18"/>
      <c r="K325" s="18"/>
      <c r="L325" s="19">
        <f t="shared" si="16"/>
        <v>34998.730000000003</v>
      </c>
      <c r="M325" s="8"/>
      <c r="N325" s="264"/>
    </row>
    <row r="326" spans="1:14" s="3" customFormat="1" ht="12.2" customHeight="1" x14ac:dyDescent="0.15">
      <c r="A326" s="1" t="s">
        <v>448</v>
      </c>
      <c r="B326" s="2" t="s">
        <v>359</v>
      </c>
      <c r="C326" s="2" t="s">
        <v>300</v>
      </c>
      <c r="D326" s="2" t="s">
        <v>431</v>
      </c>
      <c r="E326" s="6">
        <v>2700</v>
      </c>
      <c r="F326" s="18"/>
      <c r="G326" s="18"/>
      <c r="H326" s="18"/>
      <c r="I326" s="18">
        <v>1664.49</v>
      </c>
      <c r="J326" s="18">
        <v>7814.15</v>
      </c>
      <c r="K326" s="18"/>
      <c r="L326" s="19">
        <f t="shared" si="16"/>
        <v>9478.64</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116004.93</v>
      </c>
      <c r="G329" s="42">
        <f t="shared" si="17"/>
        <v>35410.43</v>
      </c>
      <c r="H329" s="42">
        <f t="shared" si="17"/>
        <v>58800</v>
      </c>
      <c r="I329" s="42">
        <f t="shared" si="17"/>
        <v>95616.17</v>
      </c>
      <c r="J329" s="42">
        <f t="shared" si="17"/>
        <v>53433.120000000003</v>
      </c>
      <c r="K329" s="42">
        <f t="shared" si="17"/>
        <v>8389.17</v>
      </c>
      <c r="L329" s="41">
        <f t="shared" si="17"/>
        <v>367653.81999999995</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585311.55000000005</v>
      </c>
      <c r="G339" s="41">
        <f t="shared" si="20"/>
        <v>235489.8</v>
      </c>
      <c r="H339" s="41">
        <f t="shared" si="20"/>
        <v>175019.51999999999</v>
      </c>
      <c r="I339" s="41">
        <f t="shared" si="20"/>
        <v>310759.28000000003</v>
      </c>
      <c r="J339" s="41">
        <f t="shared" si="20"/>
        <v>142658.1</v>
      </c>
      <c r="K339" s="41">
        <f t="shared" si="20"/>
        <v>27524.199999999997</v>
      </c>
      <c r="L339" s="41">
        <f t="shared" si="20"/>
        <v>1476762.4499999997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585311.55000000005</v>
      </c>
      <c r="G353" s="41">
        <f>G339</f>
        <v>235489.8</v>
      </c>
      <c r="H353" s="41">
        <f>H339</f>
        <v>175019.51999999999</v>
      </c>
      <c r="I353" s="41">
        <f>I339</f>
        <v>310759.28000000003</v>
      </c>
      <c r="J353" s="41">
        <f>J339</f>
        <v>142658.1</v>
      </c>
      <c r="K353" s="47">
        <f>K339+K352</f>
        <v>27524.199999999997</v>
      </c>
      <c r="L353" s="41">
        <f>L339+L352</f>
        <v>1476762.4499999997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358395.77+11360.14+2236.92+6701.19</f>
        <v>378694.02</v>
      </c>
      <c r="I359" s="18">
        <v>250773.94</v>
      </c>
      <c r="J359" s="18">
        <v>1978.33</v>
      </c>
      <c r="K359" s="18"/>
      <c r="L359" s="13">
        <f>SUM(F359:K359)</f>
        <v>631446.28999999992</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f>80638.75+7833.59</f>
        <v>88472.34</v>
      </c>
      <c r="I361" s="18">
        <v>111841.96</v>
      </c>
      <c r="J361" s="18">
        <v>17024.849999999999</v>
      </c>
      <c r="K361" s="18"/>
      <c r="L361" s="19">
        <f>SUM(F361:K361)</f>
        <v>217339.15</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467166.36</v>
      </c>
      <c r="I363" s="47">
        <f t="shared" si="22"/>
        <v>362615.9</v>
      </c>
      <c r="J363" s="47">
        <f t="shared" si="22"/>
        <v>19003.18</v>
      </c>
      <c r="K363" s="47">
        <f t="shared" si="22"/>
        <v>0</v>
      </c>
      <c r="L363" s="47">
        <f t="shared" si="22"/>
        <v>848785.44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234011.58</v>
      </c>
      <c r="G368" s="18"/>
      <c r="H368" s="18">
        <v>106372.09</v>
      </c>
      <c r="I368" s="56">
        <f>SUM(F368:H368)</f>
        <v>340383.67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16762.37</v>
      </c>
      <c r="G369" s="63"/>
      <c r="H369" s="63">
        <v>5469.86</v>
      </c>
      <c r="I369" s="56">
        <f>SUM(F369:H369)</f>
        <v>22232.23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250773.94999999998</v>
      </c>
      <c r="G370" s="47">
        <f>SUM(G368:G369)</f>
        <v>0</v>
      </c>
      <c r="H370" s="47">
        <f>SUM(H368:H369)</f>
        <v>111841.95</v>
      </c>
      <c r="I370" s="47">
        <f>SUM(I368:I369)</f>
        <v>362615.89999999997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v>500000</v>
      </c>
      <c r="H389" s="18">
        <v>14628.29</v>
      </c>
      <c r="I389" s="18"/>
      <c r="J389" s="24" t="s">
        <v>288</v>
      </c>
      <c r="K389" s="24" t="s">
        <v>288</v>
      </c>
      <c r="L389" s="56">
        <f t="shared" si="25"/>
        <v>514628.29</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500000</v>
      </c>
      <c r="H394" s="139">
        <f>SUM(H388:H393)</f>
        <v>14628.29</v>
      </c>
      <c r="I394" s="65">
        <f>SUM(I388:I393)</f>
        <v>0</v>
      </c>
      <c r="J394" s="45" t="s">
        <v>288</v>
      </c>
      <c r="K394" s="45" t="s">
        <v>288</v>
      </c>
      <c r="L394" s="47">
        <f>SUM(L388:L393)</f>
        <v>514628.29</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v>7907.57</v>
      </c>
      <c r="I396" s="18"/>
      <c r="J396" s="24" t="s">
        <v>288</v>
      </c>
      <c r="K396" s="24" t="s">
        <v>288</v>
      </c>
      <c r="L396" s="56">
        <f t="shared" ref="L396:L401" si="26">SUM(F396:K396)</f>
        <v>7907.57</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2581.5700000000002</v>
      </c>
      <c r="I398" s="18"/>
      <c r="J398" s="24" t="s">
        <v>288</v>
      </c>
      <c r="K398" s="24" t="s">
        <v>288</v>
      </c>
      <c r="L398" s="56">
        <f t="shared" si="26"/>
        <v>2581.5700000000002</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3265.18</v>
      </c>
      <c r="I401" s="18"/>
      <c r="J401" s="24" t="s">
        <v>288</v>
      </c>
      <c r="K401" s="24" t="s">
        <v>288</v>
      </c>
      <c r="L401" s="56">
        <f t="shared" si="26"/>
        <v>3265.18</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13754.32</v>
      </c>
      <c r="I402" s="47">
        <f>SUM(I396:I401)</f>
        <v>0</v>
      </c>
      <c r="J402" s="45" t="s">
        <v>288</v>
      </c>
      <c r="K402" s="45" t="s">
        <v>288</v>
      </c>
      <c r="L402" s="47">
        <f>SUM(L396:L401)</f>
        <v>13754.32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500000</v>
      </c>
      <c r="H409" s="47">
        <f>H394+H402+H408</f>
        <v>28382.61</v>
      </c>
      <c r="I409" s="47">
        <f>I394+I402+I408</f>
        <v>0</v>
      </c>
      <c r="J409" s="24" t="s">
        <v>288</v>
      </c>
      <c r="K409" s="24" t="s">
        <v>288</v>
      </c>
      <c r="L409" s="47">
        <f>L394+L402+L408</f>
        <v>528382.61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v>128361.22</v>
      </c>
      <c r="I415" s="18"/>
      <c r="J415" s="18"/>
      <c r="K415" s="18"/>
      <c r="L415" s="56">
        <f t="shared" si="27"/>
        <v>128361.22</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128361.22</v>
      </c>
      <c r="I420" s="139">
        <f t="shared" si="28"/>
        <v>0</v>
      </c>
      <c r="J420" s="139">
        <f t="shared" si="28"/>
        <v>0</v>
      </c>
      <c r="K420" s="139">
        <f t="shared" si="28"/>
        <v>0</v>
      </c>
      <c r="L420" s="47">
        <f t="shared" si="28"/>
        <v>128361.22</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128361.22</v>
      </c>
      <c r="I435" s="47">
        <f t="shared" si="32"/>
        <v>0</v>
      </c>
      <c r="J435" s="47">
        <f t="shared" si="32"/>
        <v>0</v>
      </c>
      <c r="K435" s="47">
        <f t="shared" si="32"/>
        <v>0</v>
      </c>
      <c r="L435" s="47">
        <f t="shared" si="32"/>
        <v>128361.22</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1452897.82</v>
      </c>
      <c r="G443" s="18">
        <v>1446521.81</v>
      </c>
      <c r="H443" s="18"/>
      <c r="I443" s="56">
        <f t="shared" si="33"/>
        <v>2899419.63</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1452897.82</v>
      </c>
      <c r="G447" s="13">
        <f>SUM(G440:G446)</f>
        <v>1446521.81</v>
      </c>
      <c r="H447" s="13">
        <f>SUM(H440:H446)</f>
        <v>0</v>
      </c>
      <c r="I447" s="13">
        <f>SUM(I440:I446)</f>
        <v>2899419.63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1452897.82</v>
      </c>
      <c r="G460" s="18">
        <v>1446521.81</v>
      </c>
      <c r="H460" s="18"/>
      <c r="I460" s="56">
        <f t="shared" si="34"/>
        <v>2899419.63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1452897.82</v>
      </c>
      <c r="G461" s="83">
        <f>SUM(G455:G460)</f>
        <v>1446521.81</v>
      </c>
      <c r="H461" s="83">
        <f>SUM(H455:H460)</f>
        <v>0</v>
      </c>
      <c r="I461" s="83">
        <f>SUM(I455:I460)</f>
        <v>2899419.63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1452897.82</v>
      </c>
      <c r="G462" s="42">
        <f>G453+G461</f>
        <v>1446521.81</v>
      </c>
      <c r="H462" s="42">
        <f>H453+H461</f>
        <v>0</v>
      </c>
      <c r="I462" s="42">
        <f>I453+I461</f>
        <v>2899419.63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934609.28</v>
      </c>
      <c r="G466" s="18">
        <v>21560</v>
      </c>
      <c r="H466" s="18">
        <v>280967.52</v>
      </c>
      <c r="I466" s="18"/>
      <c r="J466" s="18">
        <v>2499398.2400000002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31125855.239999998</v>
      </c>
      <c r="G469" s="18">
        <v>865776.98</v>
      </c>
      <c r="H469" s="18">
        <v>1505493.45</v>
      </c>
      <c r="I469" s="18"/>
      <c r="J469" s="18">
        <v>528382.61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31125855.239999998</v>
      </c>
      <c r="G471" s="53">
        <f>SUM(G469:G470)</f>
        <v>865776.98</v>
      </c>
      <c r="H471" s="53">
        <f>SUM(H469:H470)</f>
        <v>1505493.45</v>
      </c>
      <c r="I471" s="53">
        <f>SUM(I469:I470)</f>
        <v>0</v>
      </c>
      <c r="J471" s="53">
        <f>SUM(J469:J470)</f>
        <v>528382.61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30523271.09</v>
      </c>
      <c r="G473" s="18">
        <v>848785.44</v>
      </c>
      <c r="H473" s="18">
        <v>1476762.45</v>
      </c>
      <c r="I473" s="18"/>
      <c r="J473" s="18">
        <v>128361.22</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30523271.09</v>
      </c>
      <c r="G475" s="53">
        <f>SUM(G473:G474)</f>
        <v>848785.44</v>
      </c>
      <c r="H475" s="53">
        <f>SUM(H473:H474)</f>
        <v>1476762.45</v>
      </c>
      <c r="I475" s="53">
        <f>SUM(I473:I474)</f>
        <v>0</v>
      </c>
      <c r="J475" s="53">
        <f>SUM(J473:J474)</f>
        <v>128361.22</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1537193.4299999997</v>
      </c>
      <c r="G477" s="53">
        <f>(G466+G471)- G475</f>
        <v>38551.540000000037</v>
      </c>
      <c r="H477" s="53">
        <f>(H466+H471)- H475</f>
        <v>309698.52</v>
      </c>
      <c r="I477" s="53">
        <f>(I466+I471)- I475</f>
        <v>0</v>
      </c>
      <c r="J477" s="53">
        <f>(J466+J471)- J475</f>
        <v>2899419.63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5</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t="s">
        <v>1675</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1676</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2000000</v>
      </c>
      <c r="G494" s="18">
        <v>44686</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3.99</v>
      </c>
      <c r="G495" s="18">
        <v>5.25</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500000</v>
      </c>
      <c r="G496" s="18">
        <v>35749</v>
      </c>
      <c r="H496" s="18"/>
      <c r="I496" s="18"/>
      <c r="J496" s="18"/>
      <c r="K496" s="53">
        <f>SUM(F496:J496)</f>
        <v>535749</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100000</v>
      </c>
      <c r="G498" s="18">
        <v>8264</v>
      </c>
      <c r="H498" s="18"/>
      <c r="I498" s="18"/>
      <c r="J498" s="18"/>
      <c r="K498" s="53">
        <f t="shared" si="35"/>
        <v>108264</v>
      </c>
      <c r="L498" s="24" t="s">
        <v>288</v>
      </c>
      <c r="N498" s="263"/>
    </row>
    <row r="499" spans="1:14" s="52" customFormat="1" ht="12.2" customHeight="1" x14ac:dyDescent="0.2">
      <c r="A499" s="200" t="s">
        <v>622</v>
      </c>
      <c r="B499" s="201">
        <v>20</v>
      </c>
      <c r="C499" s="202">
        <v>9</v>
      </c>
      <c r="D499" s="203" t="s">
        <v>432</v>
      </c>
      <c r="E499" s="202"/>
      <c r="F499" s="204">
        <v>400000</v>
      </c>
      <c r="G499" s="204">
        <v>27485</v>
      </c>
      <c r="H499" s="204"/>
      <c r="I499" s="204"/>
      <c r="J499" s="204"/>
      <c r="K499" s="205">
        <f t="shared" si="35"/>
        <v>427485</v>
      </c>
      <c r="L499" s="206" t="s">
        <v>288</v>
      </c>
      <c r="N499" s="263"/>
    </row>
    <row r="500" spans="1:14" s="52" customFormat="1" ht="12.2" customHeight="1" thickBot="1" x14ac:dyDescent="0.25">
      <c r="A500" s="22" t="s">
        <v>623</v>
      </c>
      <c r="B500" s="75">
        <v>20</v>
      </c>
      <c r="C500" s="115">
        <v>10</v>
      </c>
      <c r="D500" s="2" t="s">
        <v>432</v>
      </c>
      <c r="E500" s="115"/>
      <c r="F500" s="18">
        <v>34825</v>
      </c>
      <c r="G500" s="18">
        <v>2935</v>
      </c>
      <c r="H500" s="18"/>
      <c r="I500" s="18"/>
      <c r="J500" s="18"/>
      <c r="K500" s="53">
        <f t="shared" si="35"/>
        <v>37760</v>
      </c>
      <c r="L500" s="24" t="s">
        <v>288</v>
      </c>
      <c r="N500" s="263"/>
    </row>
    <row r="501" spans="1:14" s="52" customFormat="1" ht="12.2" customHeight="1" thickTop="1" x14ac:dyDescent="0.2">
      <c r="A501" s="139" t="s">
        <v>624</v>
      </c>
      <c r="B501" s="44">
        <v>20</v>
      </c>
      <c r="C501" s="195">
        <v>11</v>
      </c>
      <c r="D501" s="39" t="s">
        <v>432</v>
      </c>
      <c r="E501" s="195"/>
      <c r="F501" s="42">
        <f>SUM(F499:F500)</f>
        <v>434825</v>
      </c>
      <c r="G501" s="42">
        <f>SUM(G499:G500)</f>
        <v>30420</v>
      </c>
      <c r="H501" s="42">
        <f>SUM(H499:H500)</f>
        <v>0</v>
      </c>
      <c r="I501" s="42">
        <f>SUM(I499:I500)</f>
        <v>0</v>
      </c>
      <c r="J501" s="42">
        <f>SUM(J499:J500)</f>
        <v>0</v>
      </c>
      <c r="K501" s="42">
        <f t="shared" si="35"/>
        <v>465245</v>
      </c>
      <c r="L501" s="45" t="s">
        <v>288</v>
      </c>
      <c r="N501" s="263"/>
    </row>
    <row r="502" spans="1:14" s="52" customFormat="1" ht="12.2" customHeight="1" x14ac:dyDescent="0.2">
      <c r="A502" s="200" t="s">
        <v>651</v>
      </c>
      <c r="B502" s="201">
        <v>20</v>
      </c>
      <c r="C502" s="202">
        <v>12</v>
      </c>
      <c r="D502" s="203" t="s">
        <v>432</v>
      </c>
      <c r="E502" s="202"/>
      <c r="F502" s="204">
        <v>100000</v>
      </c>
      <c r="G502" s="204">
        <v>8697</v>
      </c>
      <c r="H502" s="204"/>
      <c r="I502" s="204"/>
      <c r="J502" s="204"/>
      <c r="K502" s="205">
        <f t="shared" si="35"/>
        <v>108697</v>
      </c>
      <c r="L502" s="206" t="s">
        <v>288</v>
      </c>
      <c r="N502" s="263"/>
    </row>
    <row r="503" spans="1:14" s="52" customFormat="1" ht="12.2" customHeight="1" thickBot="1" x14ac:dyDescent="0.25">
      <c r="A503" s="22" t="s">
        <v>625</v>
      </c>
      <c r="B503" s="75">
        <v>20</v>
      </c>
      <c r="C503" s="115">
        <v>13</v>
      </c>
      <c r="D503" s="2" t="s">
        <v>432</v>
      </c>
      <c r="E503" s="115"/>
      <c r="F503" s="18">
        <v>15175</v>
      </c>
      <c r="G503" s="18">
        <v>1443</v>
      </c>
      <c r="H503" s="18"/>
      <c r="I503" s="18"/>
      <c r="J503" s="18"/>
      <c r="K503" s="53">
        <f t="shared" si="35"/>
        <v>16618</v>
      </c>
      <c r="L503" s="24" t="s">
        <v>288</v>
      </c>
      <c r="N503" s="263"/>
    </row>
    <row r="504" spans="1:14" s="52" customFormat="1" ht="12.2" customHeight="1" thickTop="1" x14ac:dyDescent="0.2">
      <c r="A504" s="139" t="s">
        <v>626</v>
      </c>
      <c r="B504" s="44">
        <v>20</v>
      </c>
      <c r="C504" s="195">
        <v>14</v>
      </c>
      <c r="D504" s="39" t="s">
        <v>432</v>
      </c>
      <c r="E504" s="195"/>
      <c r="F504" s="42">
        <f>SUM(F502:F503)</f>
        <v>115175</v>
      </c>
      <c r="G504" s="42">
        <f>SUM(G502:G503)</f>
        <v>10140</v>
      </c>
      <c r="H504" s="42">
        <f>SUM(H502:H503)</f>
        <v>0</v>
      </c>
      <c r="I504" s="42">
        <f>SUM(I502:I503)</f>
        <v>0</v>
      </c>
      <c r="J504" s="42">
        <f>SUM(J502:J503)</f>
        <v>0</v>
      </c>
      <c r="K504" s="42">
        <f t="shared" si="35"/>
        <v>125315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2071101.15</v>
      </c>
      <c r="G522" s="18">
        <v>771780.28</v>
      </c>
      <c r="H522" s="18">
        <v>577629.18999999994</v>
      </c>
      <c r="I522" s="18">
        <f>16250.37+4917.8</f>
        <v>21168.170000000002</v>
      </c>
      <c r="J522" s="18">
        <f>3297.47+2680.67</f>
        <v>5978.1399999999994</v>
      </c>
      <c r="K522" s="18">
        <v>1296.06</v>
      </c>
      <c r="L522" s="88">
        <f>SUM(F522:K522)</f>
        <v>3448952.9899999998</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v>894894.96</v>
      </c>
      <c r="G524" s="18">
        <v>421134.6</v>
      </c>
      <c r="H524" s="18">
        <v>288459.09000000003</v>
      </c>
      <c r="I524" s="18">
        <f>10747.53+2458.53</f>
        <v>13206.060000000001</v>
      </c>
      <c r="J524" s="18">
        <f>3467.38+1340.13</f>
        <v>4807.51</v>
      </c>
      <c r="K524" s="18">
        <v>739.99</v>
      </c>
      <c r="L524" s="88">
        <f>SUM(F524:K524)</f>
        <v>1623242.2100000002</v>
      </c>
      <c r="N524" s="263"/>
    </row>
    <row r="525" spans="1:14" s="52" customFormat="1" ht="12.2" customHeight="1" thickTop="1" x14ac:dyDescent="0.2">
      <c r="A525" s="139" t="s">
        <v>63</v>
      </c>
      <c r="B525" s="107">
        <v>21</v>
      </c>
      <c r="C525" s="195">
        <v>4</v>
      </c>
      <c r="D525" s="196" t="s">
        <v>432</v>
      </c>
      <c r="E525" s="195"/>
      <c r="F525" s="108">
        <f>SUM(F522:F524)</f>
        <v>2965996.11</v>
      </c>
      <c r="G525" s="108">
        <f t="shared" ref="G525:L525" si="36">SUM(G522:G524)</f>
        <v>1192914.8799999999</v>
      </c>
      <c r="H525" s="108">
        <f t="shared" si="36"/>
        <v>866088.28</v>
      </c>
      <c r="I525" s="108">
        <f t="shared" si="36"/>
        <v>34374.230000000003</v>
      </c>
      <c r="J525" s="108">
        <f t="shared" si="36"/>
        <v>10785.65</v>
      </c>
      <c r="K525" s="108">
        <f t="shared" si="36"/>
        <v>2036.05</v>
      </c>
      <c r="L525" s="89">
        <f t="shared" si="36"/>
        <v>5072195.2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728598.7</v>
      </c>
      <c r="G527" s="18">
        <v>383539.54</v>
      </c>
      <c r="H527" s="18">
        <v>3348.97</v>
      </c>
      <c r="I527" s="18">
        <f>9218.53+346.15</f>
        <v>9564.68</v>
      </c>
      <c r="J527" s="18">
        <v>1912.48</v>
      </c>
      <c r="K527" s="18"/>
      <c r="L527" s="88">
        <f>SUM(F527:K527)</f>
        <v>1126964.3699999999</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290011.82</v>
      </c>
      <c r="G529" s="18">
        <v>154843.79</v>
      </c>
      <c r="H529" s="18">
        <v>1674.23</v>
      </c>
      <c r="I529" s="18">
        <f>4608.58+173.05</f>
        <v>4781.63</v>
      </c>
      <c r="J529" s="18">
        <v>956.09</v>
      </c>
      <c r="K529" s="18"/>
      <c r="L529" s="88">
        <f>SUM(F529:K529)</f>
        <v>452267.56</v>
      </c>
      <c r="M529" s="8"/>
      <c r="N529" s="264"/>
    </row>
    <row r="530" spans="1:14" s="3" customFormat="1" ht="12.2" customHeight="1" thickTop="1" x14ac:dyDescent="0.15">
      <c r="A530" s="139" t="s">
        <v>65</v>
      </c>
      <c r="B530" s="107">
        <v>21</v>
      </c>
      <c r="C530" s="107">
        <v>8</v>
      </c>
      <c r="D530" s="158" t="s">
        <v>432</v>
      </c>
      <c r="E530" s="107"/>
      <c r="F530" s="89">
        <f>SUM(F527:F529)</f>
        <v>1018610.52</v>
      </c>
      <c r="G530" s="89">
        <f t="shared" ref="G530:L530" si="37">SUM(G527:G529)</f>
        <v>538383.32999999996</v>
      </c>
      <c r="H530" s="89">
        <f t="shared" si="37"/>
        <v>5023.2</v>
      </c>
      <c r="I530" s="89">
        <f t="shared" si="37"/>
        <v>14346.310000000001</v>
      </c>
      <c r="J530" s="89">
        <f t="shared" si="37"/>
        <v>2868.57</v>
      </c>
      <c r="K530" s="89">
        <f t="shared" si="37"/>
        <v>0</v>
      </c>
      <c r="L530" s="89">
        <f t="shared" si="37"/>
        <v>1579231.93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92091.6</v>
      </c>
      <c r="G532" s="18">
        <v>22492.2</v>
      </c>
      <c r="H532" s="18">
        <v>511.63</v>
      </c>
      <c r="I532" s="18"/>
      <c r="J532" s="18"/>
      <c r="K532" s="18"/>
      <c r="L532" s="88">
        <f>SUM(F532:K532)</f>
        <v>115095.43000000001</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46038.9</v>
      </c>
      <c r="G534" s="18">
        <v>11244.42</v>
      </c>
      <c r="H534" s="18">
        <v>255.78</v>
      </c>
      <c r="I534" s="18"/>
      <c r="J534" s="18"/>
      <c r="K534" s="18"/>
      <c r="L534" s="88">
        <f>SUM(F534:K534)</f>
        <v>57539.1</v>
      </c>
      <c r="M534" s="8"/>
      <c r="N534" s="264"/>
    </row>
    <row r="535" spans="1:14" s="3" customFormat="1" ht="12.2" customHeight="1" thickTop="1" x14ac:dyDescent="0.15">
      <c r="A535" s="139" t="s">
        <v>67</v>
      </c>
      <c r="B535" s="107">
        <v>21</v>
      </c>
      <c r="C535" s="107">
        <v>12</v>
      </c>
      <c r="D535" s="158" t="s">
        <v>432</v>
      </c>
      <c r="E535" s="107"/>
      <c r="F535" s="89">
        <f>SUM(F532:F534)</f>
        <v>138130.5</v>
      </c>
      <c r="G535" s="89">
        <f t="shared" ref="G535:L535" si="38">SUM(G532:G534)</f>
        <v>33736.620000000003</v>
      </c>
      <c r="H535" s="89">
        <f t="shared" si="38"/>
        <v>767.41</v>
      </c>
      <c r="I535" s="89">
        <f t="shared" si="38"/>
        <v>0</v>
      </c>
      <c r="J535" s="89">
        <f t="shared" si="38"/>
        <v>0</v>
      </c>
      <c r="K535" s="89">
        <f t="shared" si="38"/>
        <v>0</v>
      </c>
      <c r="L535" s="89">
        <f t="shared" si="38"/>
        <v>172634.53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166.67</v>
      </c>
      <c r="I537" s="18"/>
      <c r="J537" s="18"/>
      <c r="K537" s="18"/>
      <c r="L537" s="88">
        <f>SUM(F537:K537)</f>
        <v>166.67</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v>83.33</v>
      </c>
      <c r="I539" s="18"/>
      <c r="J539" s="18"/>
      <c r="K539" s="18"/>
      <c r="L539" s="88">
        <f>SUM(F539:K539)</f>
        <v>83.33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250</v>
      </c>
      <c r="I540" s="89">
        <f t="shared" si="39"/>
        <v>0</v>
      </c>
      <c r="J540" s="89">
        <f t="shared" si="39"/>
        <v>0</v>
      </c>
      <c r="K540" s="89">
        <f t="shared" si="39"/>
        <v>0</v>
      </c>
      <c r="L540" s="89">
        <f t="shared" si="39"/>
        <v>250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35315.120000000003</v>
      </c>
      <c r="G542" s="18">
        <v>4009.75</v>
      </c>
      <c r="H542" s="18">
        <v>18097.900000000001</v>
      </c>
      <c r="I542" s="18"/>
      <c r="J542" s="18"/>
      <c r="K542" s="18"/>
      <c r="L542" s="88">
        <f>SUM(F542:K542)</f>
        <v>57422.770000000004</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v>17654.91</v>
      </c>
      <c r="G544" s="18">
        <v>2289.94</v>
      </c>
      <c r="H544" s="18">
        <v>9047.6</v>
      </c>
      <c r="I544" s="18"/>
      <c r="J544" s="18"/>
      <c r="K544" s="18"/>
      <c r="L544" s="88">
        <f>SUM(F544:K544)</f>
        <v>28992.449999999997</v>
      </c>
      <c r="M544" s="8"/>
      <c r="N544" s="264"/>
    </row>
    <row r="545" spans="1:14" s="3" customFormat="1" ht="12.2" customHeight="1" thickTop="1" thickBot="1" x14ac:dyDescent="0.2">
      <c r="A545" s="130" t="s">
        <v>71</v>
      </c>
      <c r="B545" s="191">
        <v>21</v>
      </c>
      <c r="C545" s="191">
        <v>20</v>
      </c>
      <c r="D545" s="192" t="s">
        <v>432</v>
      </c>
      <c r="E545" s="191"/>
      <c r="F545" s="193">
        <f>SUM(F542:F544)</f>
        <v>52970.03</v>
      </c>
      <c r="G545" s="193">
        <f t="shared" ref="G545:L545" si="40">SUM(G542:G544)</f>
        <v>6299.6900000000005</v>
      </c>
      <c r="H545" s="193">
        <f t="shared" si="40"/>
        <v>27145.5</v>
      </c>
      <c r="I545" s="193">
        <f t="shared" si="40"/>
        <v>0</v>
      </c>
      <c r="J545" s="193">
        <f t="shared" si="40"/>
        <v>0</v>
      </c>
      <c r="K545" s="193">
        <f t="shared" si="40"/>
        <v>0</v>
      </c>
      <c r="L545" s="193">
        <f t="shared" si="40"/>
        <v>86415.22</v>
      </c>
      <c r="M545" s="8"/>
      <c r="N545" s="264"/>
    </row>
    <row r="546" spans="1:14" s="3" customFormat="1" ht="12.2" customHeight="1" thickTop="1" x14ac:dyDescent="0.15">
      <c r="A546" s="98" t="s">
        <v>72</v>
      </c>
      <c r="B546" s="107">
        <v>21</v>
      </c>
      <c r="C546" s="107">
        <v>21</v>
      </c>
      <c r="D546" s="158" t="s">
        <v>432</v>
      </c>
      <c r="E546" s="107"/>
      <c r="F546" s="89">
        <f>F525+F530+F535+F540+F545</f>
        <v>4175707.1599999997</v>
      </c>
      <c r="G546" s="89">
        <f t="shared" ref="G546:L546" si="41">G525+G530+G535+G540+G545</f>
        <v>1771334.52</v>
      </c>
      <c r="H546" s="89">
        <f t="shared" si="41"/>
        <v>899274.39</v>
      </c>
      <c r="I546" s="89">
        <f t="shared" si="41"/>
        <v>48720.540000000008</v>
      </c>
      <c r="J546" s="89">
        <f t="shared" si="41"/>
        <v>13654.22</v>
      </c>
      <c r="K546" s="89">
        <f t="shared" si="41"/>
        <v>2036.05</v>
      </c>
      <c r="L546" s="89">
        <f t="shared" si="41"/>
        <v>6910726.8799999999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3448952.9899999998</v>
      </c>
      <c r="G550" s="87">
        <f>L527</f>
        <v>1126964.3699999999</v>
      </c>
      <c r="H550" s="87">
        <f>L532</f>
        <v>115095.43000000001</v>
      </c>
      <c r="I550" s="87">
        <f>L537</f>
        <v>166.67</v>
      </c>
      <c r="J550" s="87">
        <f>L542</f>
        <v>57422.770000000004</v>
      </c>
      <c r="K550" s="87">
        <f>SUM(F550:J550)</f>
        <v>4748602.2299999986</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1623242.2100000002</v>
      </c>
      <c r="G552" s="87">
        <f>L529</f>
        <v>452267.56</v>
      </c>
      <c r="H552" s="87">
        <f>L534</f>
        <v>57539.1</v>
      </c>
      <c r="I552" s="87">
        <f>L539</f>
        <v>83.33</v>
      </c>
      <c r="J552" s="87">
        <f>L544</f>
        <v>28992.449999999997</v>
      </c>
      <c r="K552" s="87">
        <f>SUM(F552:J552)</f>
        <v>2162124.6500000004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5072195.2</v>
      </c>
      <c r="G553" s="89">
        <f t="shared" si="42"/>
        <v>1579231.93</v>
      </c>
      <c r="H553" s="89">
        <f t="shared" si="42"/>
        <v>172634.53</v>
      </c>
      <c r="I553" s="89">
        <f t="shared" si="42"/>
        <v>250</v>
      </c>
      <c r="J553" s="89">
        <f t="shared" si="42"/>
        <v>86415.22</v>
      </c>
      <c r="K553" s="89">
        <f t="shared" si="42"/>
        <v>6910726.879999999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15784.25</v>
      </c>
      <c r="G580" s="18"/>
      <c r="H580" s="18"/>
      <c r="I580" s="87">
        <f t="shared" si="47"/>
        <v>15784.25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397934.08000000002</v>
      </c>
      <c r="G583" s="18"/>
      <c r="H583" s="18">
        <v>198937.19</v>
      </c>
      <c r="I583" s="87">
        <f t="shared" si="47"/>
        <v>596871.27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104516.89</v>
      </c>
      <c r="G584" s="18"/>
      <c r="H584" s="18">
        <v>52250.61</v>
      </c>
      <c r="I584" s="87">
        <f t="shared" si="47"/>
        <v>156767.5</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23258.66</v>
      </c>
      <c r="I585" s="87">
        <f t="shared" si="47"/>
        <v>23258.66</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v>136719</v>
      </c>
      <c r="I586" s="87">
        <f t="shared" si="47"/>
        <v>136719</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v>1200</v>
      </c>
      <c r="I588" s="87">
        <f t="shared" si="47"/>
        <v>1200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575251.41-41.66</f>
        <v>575209.75</v>
      </c>
      <c r="I592" s="18"/>
      <c r="J592" s="18">
        <f>328521.43+41.66</f>
        <v>328563.08999999997</v>
      </c>
      <c r="K592" s="104">
        <f t="shared" ref="K592:K598" si="48">SUM(H592:J592)</f>
        <v>903772.84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57422.78</v>
      </c>
      <c r="I593" s="18"/>
      <c r="J593" s="18">
        <v>28992.44</v>
      </c>
      <c r="K593" s="104">
        <f t="shared" si="48"/>
        <v>86415.22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20262.509999999998</v>
      </c>
      <c r="K594" s="104">
        <f t="shared" si="48"/>
        <v>20262.509999999998</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3680.87</v>
      </c>
      <c r="I595" s="18"/>
      <c r="J595" s="18">
        <v>10523.25</v>
      </c>
      <c r="K595" s="104">
        <f t="shared" si="48"/>
        <v>14204.119999999999</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2370.3200000000002</v>
      </c>
      <c r="I596" s="18"/>
      <c r="J596" s="18">
        <v>613.88</v>
      </c>
      <c r="K596" s="104">
        <f t="shared" si="48"/>
        <v>2984.2000000000003</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172359.62</v>
      </c>
      <c r="I598" s="18"/>
      <c r="J598" s="18">
        <v>98433.18</v>
      </c>
      <c r="K598" s="104">
        <f t="shared" si="48"/>
        <v>270792.8</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811043.34</v>
      </c>
      <c r="I599" s="108">
        <f>SUM(I592:I598)</f>
        <v>0</v>
      </c>
      <c r="J599" s="108">
        <f>SUM(J592:J598)</f>
        <v>487388.35</v>
      </c>
      <c r="K599" s="108">
        <f>SUM(K592:K598)</f>
        <v>1298431.69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130456.24+89224.98</f>
        <v>219681.22</v>
      </c>
      <c r="I605" s="18"/>
      <c r="J605" s="18">
        <f>131808.09+53433.12</f>
        <v>185241.21</v>
      </c>
      <c r="K605" s="104">
        <f>SUM(H605:J605)</f>
        <v>404922.43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219681.22</v>
      </c>
      <c r="I606" s="108">
        <f>SUM(I603:I605)</f>
        <v>0</v>
      </c>
      <c r="J606" s="108">
        <f>SUM(J603:J605)</f>
        <v>185241.21</v>
      </c>
      <c r="K606" s="108">
        <f>SUM(K603:K605)</f>
        <v>404922.43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3895419.8700000006</v>
      </c>
      <c r="H618" s="109">
        <f>SUM(F52)</f>
        <v>3895419.8699999996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190326.15000000002</v>
      </c>
      <c r="H619" s="109">
        <f>SUM(G52)</f>
        <v>190326.15000000002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618584.47</v>
      </c>
      <c r="H620" s="109">
        <f>SUM(H52)</f>
        <v>618584.47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2899419.63</v>
      </c>
      <c r="H622" s="109">
        <f>SUM(J52)</f>
        <v>2899419.63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1537193.4299999997</v>
      </c>
      <c r="H623" s="109">
        <f>F477</f>
        <v>1537193.4299999997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38551.54</v>
      </c>
      <c r="H624" s="109">
        <f>G477</f>
        <v>38551.540000000037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309698.52</v>
      </c>
      <c r="H625" s="109">
        <f>H477</f>
        <v>309698.52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2899419.63</v>
      </c>
      <c r="H627" s="109">
        <f>J477</f>
        <v>2899419.63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31125855.239999998</v>
      </c>
      <c r="H628" s="104">
        <f>SUM(F469)</f>
        <v>31125855.239999998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865776.98</v>
      </c>
      <c r="H629" s="104">
        <f>SUM(G469)</f>
        <v>865776.98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1505493.45</v>
      </c>
      <c r="H630" s="104">
        <f>SUM(H469)</f>
        <v>1505493.45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528382.61</v>
      </c>
      <c r="H632" s="104">
        <f>SUM(J469)</f>
        <v>528382.61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30523271.09</v>
      </c>
      <c r="H633" s="104">
        <f>SUM(F473)</f>
        <v>30523271.09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1476762.4499999997</v>
      </c>
      <c r="H634" s="104">
        <f>SUM(H473)</f>
        <v>1476762.45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362615.9</v>
      </c>
      <c r="H635" s="104">
        <f>I370</f>
        <v>362615.89999999997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848785.44</v>
      </c>
      <c r="H636" s="104">
        <f>SUM(G473)</f>
        <v>848785.44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528382.61</v>
      </c>
      <c r="H638" s="164">
        <f>SUM(J469)</f>
        <v>528382.61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128361.22</v>
      </c>
      <c r="H639" s="164">
        <f>SUM(J473)</f>
        <v>128361.22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1452897.82</v>
      </c>
      <c r="H640" s="104">
        <f>SUM(F462)</f>
        <v>1452897.82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1446521.81</v>
      </c>
      <c r="H641" s="104">
        <f>SUM(G462)</f>
        <v>1446521.81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2899419.63</v>
      </c>
      <c r="H643" s="104">
        <f>SUM(I462)</f>
        <v>2899419.63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28382.61</v>
      </c>
      <c r="H645" s="104">
        <f>H409</f>
        <v>28382.61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500000</v>
      </c>
      <c r="H646" s="104">
        <f>G409</f>
        <v>500000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528382.61</v>
      </c>
      <c r="H647" s="104">
        <f>L409</f>
        <v>528382.61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1298431.69</v>
      </c>
      <c r="H648" s="104">
        <f>L209+L227+L245</f>
        <v>1298431.69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404922.43</v>
      </c>
      <c r="H649" s="104">
        <f>(J258+J339)-(J256+J337)</f>
        <v>404922.42999999993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811043.34</v>
      </c>
      <c r="H650" s="104">
        <f>H599</f>
        <v>811043.34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487388.35</v>
      </c>
      <c r="H652" s="104">
        <f>J599</f>
        <v>487388.35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500000</v>
      </c>
      <c r="H656" s="104">
        <f>K267+K348</f>
        <v>500000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21081545.389999997</v>
      </c>
      <c r="G661" s="19">
        <f>(L230+L310+L360)</f>
        <v>0</v>
      </c>
      <c r="H661" s="19">
        <f>(L248+L329+L361)</f>
        <v>10312210.770000001</v>
      </c>
      <c r="I661" s="19">
        <f>SUM(F661:H661)</f>
        <v>31393756.159999996</v>
      </c>
      <c r="J661" s="13"/>
      <c r="K661" s="13"/>
      <c r="L661" s="13"/>
      <c r="M661" s="9"/>
    </row>
    <row r="662" spans="1:13" s="3" customFormat="1" ht="12.2" customHeight="1" x14ac:dyDescent="0.2">
      <c r="A662" s="1" t="s">
        <v>127</v>
      </c>
      <c r="F662" s="19">
        <f>(L359/IF(SUM(L359:L361)=0,1,SUM(L359:L361))*(SUM(G97:G110)))</f>
        <v>6980.3612167940819</v>
      </c>
      <c r="G662" s="19">
        <f>(L360/IF(SUM(L359:L361)=0,1,SUM(L359:L361))*(SUM(G97:G110)))</f>
        <v>0</v>
      </c>
      <c r="H662" s="19">
        <f>(L361/IF(SUM(L359:L361)=0,1,SUM(L359:L361))*(SUM(G97:G110)))</f>
        <v>2402.5887832059188</v>
      </c>
      <c r="I662" s="19">
        <f>SUM(F662:H662)</f>
        <v>9382.9500000000007</v>
      </c>
      <c r="J662"/>
      <c r="K662" s="13"/>
      <c r="L662" s="13"/>
      <c r="M662" s="8"/>
    </row>
    <row r="663" spans="1:13" s="3" customFormat="1" ht="12.2" customHeight="1" x14ac:dyDescent="0.2">
      <c r="A663" s="1" t="s">
        <v>128</v>
      </c>
      <c r="F663" s="19">
        <f>(L209+L288)-(J209+J288)</f>
        <v>807357.91</v>
      </c>
      <c r="G663" s="19">
        <f>(L227+L307)-(J227+J307)</f>
        <v>0</v>
      </c>
      <c r="H663" s="19">
        <f>(L245+L326)-(J245+J326)</f>
        <v>483460.45</v>
      </c>
      <c r="I663" s="19">
        <f>SUM(F663:H663)</f>
        <v>1290818.3600000001</v>
      </c>
      <c r="J663"/>
      <c r="K663" s="13"/>
      <c r="L663" s="13"/>
      <c r="M663" s="9"/>
    </row>
    <row r="664" spans="1:13" s="3" customFormat="1" ht="12.2" customHeight="1" x14ac:dyDescent="0.15">
      <c r="A664" s="198" t="s">
        <v>129</v>
      </c>
      <c r="B664" s="169"/>
      <c r="C664" s="169"/>
      <c r="D664" s="169"/>
      <c r="E664" s="169"/>
      <c r="F664" s="199">
        <f>SUM(F576:F588)+SUM(H603:H605)+SUM(L612)</f>
        <v>737916.44000000006</v>
      </c>
      <c r="G664" s="199">
        <f>SUM(G576:G588)+SUM(I603:I605)+L613</f>
        <v>0</v>
      </c>
      <c r="H664" s="199">
        <f>SUM(H576:H588)+SUM(J603:J605)+L614</f>
        <v>597606.66999999993</v>
      </c>
      <c r="I664" s="19">
        <f>SUM(F664:H664)</f>
        <v>1335523.1099999999</v>
      </c>
      <c r="J664" s="13"/>
      <c r="K664" s="13"/>
      <c r="L664" s="13"/>
      <c r="M664" s="9"/>
    </row>
    <row r="665" spans="1:13" s="3" customFormat="1" ht="12.2" customHeight="1" x14ac:dyDescent="0.15">
      <c r="A665" s="1" t="s">
        <v>130</v>
      </c>
      <c r="F665" s="19">
        <f>F661-SUM(F662:F664)</f>
        <v>19529290.678783201</v>
      </c>
      <c r="G665" s="19">
        <f>G661-SUM(G662:G664)</f>
        <v>0</v>
      </c>
      <c r="H665" s="19">
        <f>H661-SUM(H662:H664)</f>
        <v>9228741.0612167958</v>
      </c>
      <c r="I665" s="19">
        <f>I661-SUM(I662:I664)</f>
        <v>28758031.739999995</v>
      </c>
      <c r="J665" s="13"/>
      <c r="K665" s="13"/>
      <c r="L665" s="13"/>
      <c r="M665" s="8"/>
    </row>
    <row r="666" spans="1:13" s="3" customFormat="1" ht="12.2" customHeight="1" x14ac:dyDescent="0.25">
      <c r="A666" s="1" t="s">
        <v>131</v>
      </c>
      <c r="F666" s="361">
        <v>921.47</v>
      </c>
      <c r="G666" s="361">
        <v>0</v>
      </c>
      <c r="H666" s="361">
        <v>489.9</v>
      </c>
      <c r="I666" s="19">
        <f>SUM(F666:H666)</f>
        <v>1411.37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21193.63</v>
      </c>
      <c r="G668" s="19" t="e">
        <f>ROUND(G665/G666,2)</f>
        <v>#DIV/0!</v>
      </c>
      <c r="H668" s="19">
        <f>ROUND(H665/H666,2)</f>
        <v>18838.009999999998</v>
      </c>
      <c r="I668" s="19">
        <f>ROUND(I665/I666,2)</f>
        <v>20375.97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-8.3800000000000008</v>
      </c>
      <c r="I671" s="19">
        <f>SUM(F671:H671)</f>
        <v>-8.3800000000000008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21193.63</v>
      </c>
      <c r="G673" s="19" t="e">
        <f>ROUND((G665+G670)/(G666+G671),2)</f>
        <v>#DIV/0!</v>
      </c>
      <c r="H673" s="19">
        <f>ROUND((H665+H670)/(H666+H671),2)</f>
        <v>19165.849999999999</v>
      </c>
      <c r="I673" s="19">
        <f>ROUND((I665+I670)/(I666+I671),2)</f>
        <v>20497.669999999998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J22" sqref="J22"/>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75497.91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300673.53999999998</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292437.02</f>
        <v>292437.02</v>
      </c>
      <c r="F22" s="346"/>
    </row>
    <row r="23" spans="2:8" x14ac:dyDescent="0.25">
      <c r="B23" s="346"/>
      <c r="C23" s="346"/>
      <c r="D23" s="346"/>
      <c r="E23" s="346"/>
      <c r="F23" s="346"/>
    </row>
    <row r="24" spans="2:8" ht="26.25" customHeight="1" x14ac:dyDescent="0.25">
      <c r="B24" s="346"/>
      <c r="C24" s="348" t="s">
        <v>1661</v>
      </c>
      <c r="D24" s="346"/>
      <c r="E24" s="341">
        <f>110905.78+3476.33+52538.52</f>
        <v>166920.63</v>
      </c>
      <c r="F24" s="346"/>
    </row>
    <row r="25" spans="2:8" ht="18" x14ac:dyDescent="0.25">
      <c r="B25" s="346"/>
      <c r="C25" s="349"/>
      <c r="D25" s="346"/>
      <c r="E25" s="346"/>
      <c r="F25" s="346"/>
    </row>
    <row r="26" spans="2:8" ht="27.75" customHeight="1" x14ac:dyDescent="0.25">
      <c r="B26" s="346"/>
      <c r="C26" s="348" t="s">
        <v>1662</v>
      </c>
      <c r="D26" s="346"/>
      <c r="E26" s="341">
        <v>122234.83</v>
      </c>
      <c r="F26" s="346"/>
    </row>
    <row r="27" spans="2:8" x14ac:dyDescent="0.25">
      <c r="B27" s="346"/>
      <c r="C27" s="348"/>
      <c r="D27" s="346"/>
      <c r="E27" s="346"/>
      <c r="F27" s="346"/>
    </row>
    <row r="28" spans="2:8" ht="15.75" customHeight="1" x14ac:dyDescent="0.25">
      <c r="B28" s="346"/>
      <c r="C28" s="348" t="s">
        <v>1663</v>
      </c>
      <c r="D28" s="346"/>
      <c r="E28" s="342">
        <v>19677.830000000002</v>
      </c>
      <c r="F28" s="346"/>
    </row>
    <row r="29" spans="2:8" x14ac:dyDescent="0.25">
      <c r="B29" s="346"/>
      <c r="C29" s="346"/>
      <c r="D29" s="346"/>
      <c r="E29" s="346"/>
      <c r="F29" s="346"/>
    </row>
    <row r="30" spans="2:8" ht="16.5" customHeight="1" x14ac:dyDescent="0.25">
      <c r="B30" s="346"/>
      <c r="C30" s="348" t="s">
        <v>1664</v>
      </c>
      <c r="D30" s="346"/>
      <c r="E30" s="341">
        <f>64056.6+3281.56</f>
        <v>67338.16</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4" t="str">
        <f>'DOE25'!A2</f>
        <v>Fall Mountain Regional School District</v>
      </c>
      <c r="C5" s="365"/>
      <c r="D5" s="365"/>
      <c r="E5" s="365"/>
      <c r="F5" s="365"/>
    </row>
    <row r="8" spans="1:9" ht="18" x14ac:dyDescent="0.25">
      <c r="A8" s="317" t="s">
        <v>1576</v>
      </c>
      <c r="F8" s="324" t="s">
        <v>1594</v>
      </c>
    </row>
    <row r="9" spans="1:9" ht="15" x14ac:dyDescent="0.2">
      <c r="A9" s="315" t="s">
        <v>1577</v>
      </c>
      <c r="B9" s="318">
        <f>'DOE25'!G97</f>
        <v>9382.9500000000007</v>
      </c>
      <c r="F9" s="315" t="s">
        <v>1590</v>
      </c>
    </row>
    <row r="10" spans="1:9" ht="15" x14ac:dyDescent="0.2">
      <c r="A10" s="315" t="s">
        <v>1578</v>
      </c>
      <c r="B10" s="318">
        <f>'DOE25'!G112-'DOE25'!G97</f>
        <v>0</v>
      </c>
      <c r="F10" s="315" t="s">
        <v>1591</v>
      </c>
    </row>
    <row r="11" spans="1:9" ht="15" x14ac:dyDescent="0.2">
      <c r="A11" s="315" t="s">
        <v>1579</v>
      </c>
      <c r="B11" s="318">
        <f>'DOE25'!G140</f>
        <v>13511.05</v>
      </c>
      <c r="F11" s="315" t="s">
        <v>1592</v>
      </c>
    </row>
    <row r="12" spans="1:9" ht="15" x14ac:dyDescent="0.2">
      <c r="A12" s="315" t="s">
        <v>1580</v>
      </c>
      <c r="B12" s="318">
        <f>'DOE25'!G170</f>
        <v>842882.98</v>
      </c>
      <c r="F12" s="315" t="s">
        <v>1593</v>
      </c>
    </row>
    <row r="13" spans="1:9" ht="15" x14ac:dyDescent="0.2">
      <c r="A13" s="315" t="s">
        <v>1581</v>
      </c>
      <c r="B13" s="318">
        <f>'DOE25'!G193-'DOE25'!G180</f>
        <v>0</v>
      </c>
      <c r="F13" s="315" t="s">
        <v>1603</v>
      </c>
    </row>
    <row r="14" spans="1:9" ht="18" x14ac:dyDescent="0.25">
      <c r="A14" s="317" t="s">
        <v>732</v>
      </c>
      <c r="B14" s="319">
        <f>SUM(B9:B13)</f>
        <v>865776.98</v>
      </c>
    </row>
    <row r="16" spans="1:9" ht="18" x14ac:dyDescent="0.25">
      <c r="A16" s="317" t="s">
        <v>786</v>
      </c>
      <c r="F16" s="324" t="s">
        <v>1595</v>
      </c>
    </row>
    <row r="17" spans="1:6" ht="15" x14ac:dyDescent="0.2">
      <c r="A17" s="315" t="s">
        <v>1582</v>
      </c>
      <c r="B17" s="318">
        <f>'DOE25'!L363-'DOE25'!L362</f>
        <v>848785.44</v>
      </c>
      <c r="F17" s="315" t="s">
        <v>1596</v>
      </c>
    </row>
    <row r="18" spans="1:6" ht="15" x14ac:dyDescent="0.2">
      <c r="A18" s="315" t="s">
        <v>1583</v>
      </c>
      <c r="B18" s="328"/>
      <c r="F18" s="324" t="s">
        <v>1620</v>
      </c>
    </row>
    <row r="19" spans="1:6" ht="18" x14ac:dyDescent="0.25">
      <c r="A19" s="317" t="s">
        <v>725</v>
      </c>
      <c r="B19" s="319">
        <f>SUM(B17:B18)</f>
        <v>848785.44</v>
      </c>
    </row>
    <row r="21" spans="1:6" ht="18.75" thickBot="1" x14ac:dyDescent="0.3">
      <c r="A21" s="317" t="s">
        <v>1584</v>
      </c>
    </row>
    <row r="22" spans="1:6" ht="18.75" thickTop="1" x14ac:dyDescent="0.25">
      <c r="A22" s="317" t="s">
        <v>1585</v>
      </c>
      <c r="B22" s="323">
        <f>B14-B19</f>
        <v>16991.540000000037</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21560</v>
      </c>
      <c r="F31" s="315" t="s">
        <v>1600</v>
      </c>
    </row>
    <row r="33" spans="1:6" ht="15" x14ac:dyDescent="0.2">
      <c r="A33" s="315" t="s">
        <v>1629</v>
      </c>
      <c r="B33" s="318">
        <f>'DOE25'!G477</f>
        <v>38551.540000000037</v>
      </c>
      <c r="F33" s="315" t="s">
        <v>1601</v>
      </c>
    </row>
    <row r="36" spans="1:6" ht="15" x14ac:dyDescent="0.2">
      <c r="A36" s="315" t="s">
        <v>1587</v>
      </c>
      <c r="B36" s="329">
        <v>28131.84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G38" sqref="G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Fall Mountain Regional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7210306.8599999994</v>
      </c>
      <c r="C9" s="229">
        <f>'DOE25'!G198+'DOE25'!G216+'DOE25'!G234+'DOE25'!G277+'DOE25'!G296+'DOE25'!G315</f>
        <v>3798983.49</v>
      </c>
    </row>
    <row r="10" spans="1:3" x14ac:dyDescent="0.2">
      <c r="A10" t="s">
        <v>775</v>
      </c>
      <c r="B10" s="240">
        <f>6756747.16+241125</f>
        <v>6997872.1600000001</v>
      </c>
      <c r="C10" s="240">
        <f>3575243.07+120373.65</f>
        <v>3695616.7199999997</v>
      </c>
    </row>
    <row r="11" spans="1:3" x14ac:dyDescent="0.2">
      <c r="A11" t="s">
        <v>776</v>
      </c>
      <c r="B11" s="240">
        <f>183783.56+28651.14</f>
        <v>212434.7</v>
      </c>
      <c r="C11" s="240">
        <f>97246.63+6120.14</f>
        <v>103366.77</v>
      </c>
    </row>
    <row r="12" spans="1:3" x14ac:dyDescent="0.2">
      <c r="A12" t="s">
        <v>777</v>
      </c>
      <c r="B12" s="240"/>
      <c r="C12" s="240"/>
    </row>
    <row r="13" spans="1:3" x14ac:dyDescent="0.2">
      <c r="A13" t="str">
        <f>IF(B9=B13,IF(C9=C13,"Check Total OK","Check Total Error"),"Check Total Error")</f>
        <v>Check Total OK</v>
      </c>
      <c r="B13" s="231">
        <f>SUM(B10:B12)</f>
        <v>7210306.8600000003</v>
      </c>
      <c r="C13" s="231">
        <f>SUM(C10:C12)</f>
        <v>3798983.4899999998</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4122737.13</v>
      </c>
      <c r="C18" s="229">
        <f>'DOE25'!G199+'DOE25'!G217+'DOE25'!G235+'DOE25'!G278+'DOE25'!G297+'DOE25'!G316</f>
        <v>1765034.83</v>
      </c>
    </row>
    <row r="19" spans="1:3" x14ac:dyDescent="0.2">
      <c r="A19" t="s">
        <v>775</v>
      </c>
      <c r="B19" s="240">
        <v>1311787.9099999999</v>
      </c>
      <c r="C19" s="240">
        <v>561605.38</v>
      </c>
    </row>
    <row r="20" spans="1:3" x14ac:dyDescent="0.2">
      <c r="A20" t="s">
        <v>776</v>
      </c>
      <c r="B20" s="240">
        <v>1673978.36</v>
      </c>
      <c r="C20" s="240">
        <v>716667.11</v>
      </c>
    </row>
    <row r="21" spans="1:3" x14ac:dyDescent="0.2">
      <c r="A21" t="s">
        <v>777</v>
      </c>
      <c r="B21" s="240">
        <v>1136970.8600000001</v>
      </c>
      <c r="C21" s="240">
        <v>486762.34</v>
      </c>
    </row>
    <row r="22" spans="1:3" x14ac:dyDescent="0.2">
      <c r="A22" t="str">
        <f>IF(B18=B22,IF(C18=C22,"Check Total OK","Check Total Error"),"Check Total Error")</f>
        <v>Check Total OK</v>
      </c>
      <c r="B22" s="231">
        <f>SUM(B19:B21)</f>
        <v>4122737.13</v>
      </c>
      <c r="C22" s="231">
        <f>SUM(C19:C21)</f>
        <v>1765034.83</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352583.57</v>
      </c>
      <c r="C27" s="234">
        <f>'DOE25'!G200+'DOE25'!G218+'DOE25'!G236+'DOE25'!G279+'DOE25'!G298+'DOE25'!G317</f>
        <v>130906.97</v>
      </c>
    </row>
    <row r="28" spans="1:3" x14ac:dyDescent="0.2">
      <c r="A28" t="s">
        <v>775</v>
      </c>
      <c r="B28" s="240">
        <v>315964.90000000002</v>
      </c>
      <c r="C28" s="240">
        <f>126395.7-478.22</f>
        <v>125917.48</v>
      </c>
    </row>
    <row r="29" spans="1:3" x14ac:dyDescent="0.2">
      <c r="A29" t="s">
        <v>776</v>
      </c>
      <c r="B29" s="240">
        <v>1200</v>
      </c>
      <c r="C29" s="240">
        <v>478.22</v>
      </c>
    </row>
    <row r="30" spans="1:3" x14ac:dyDescent="0.2">
      <c r="A30" t="s">
        <v>777</v>
      </c>
      <c r="B30" s="240">
        <v>35418.67</v>
      </c>
      <c r="C30" s="240">
        <v>4511.2700000000004</v>
      </c>
    </row>
    <row r="31" spans="1:3" x14ac:dyDescent="0.2">
      <c r="A31" t="str">
        <f>IF(B27=B31,IF(C27=C31,"Check Total OK","Check Total Error"),"Check Total Error")</f>
        <v>Check Total OK</v>
      </c>
      <c r="B31" s="231">
        <f>SUM(B28:B30)</f>
        <v>352583.57</v>
      </c>
      <c r="C31" s="231">
        <f>SUM(C28:C30)</f>
        <v>130906.97</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252571.35</v>
      </c>
      <c r="C36" s="235">
        <f>'DOE25'!G201+'DOE25'!G219+'DOE25'!G237+'DOE25'!G280+'DOE25'!G299+'DOE25'!G318</f>
        <v>64573.71</v>
      </c>
    </row>
    <row r="37" spans="1:3" x14ac:dyDescent="0.2">
      <c r="A37" t="s">
        <v>775</v>
      </c>
      <c r="B37" s="240"/>
      <c r="C37" s="240"/>
    </row>
    <row r="38" spans="1:3" x14ac:dyDescent="0.2">
      <c r="A38" t="s">
        <v>776</v>
      </c>
      <c r="B38" s="240"/>
      <c r="C38" s="240"/>
    </row>
    <row r="39" spans="1:3" x14ac:dyDescent="0.2">
      <c r="A39" t="s">
        <v>777</v>
      </c>
      <c r="B39" s="240">
        <f>235450.17+17121.18</f>
        <v>252571.35</v>
      </c>
      <c r="C39" s="240">
        <f>60741.74+3831.97</f>
        <v>64573.71</v>
      </c>
    </row>
    <row r="40" spans="1:3" x14ac:dyDescent="0.2">
      <c r="A40" t="str">
        <f>IF(B36=B40,IF(C36=C40,"Check Total OK","Check Total Error"),"Check Total Error")</f>
        <v>Check Total OK</v>
      </c>
      <c r="B40" s="231">
        <f>SUM(B37:B39)</f>
        <v>252571.35</v>
      </c>
      <c r="C40" s="231">
        <f>SUM(C37:C39)</f>
        <v>64573.71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1" activePane="bottomLeft" state="frozen"/>
      <selection activeCell="F46" sqref="F46"/>
      <selection pane="bottomLeft" activeCell="R26" sqref="R2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Fall Mountain Regional School District</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18892568.850000001</v>
      </c>
      <c r="D5" s="20">
        <f>SUM('DOE25'!L198:L201)+SUM('DOE25'!L216:L219)+SUM('DOE25'!L234:L237)-F5-G5-H5</f>
        <v>18715422.440000001</v>
      </c>
      <c r="E5" s="243"/>
      <c r="F5" s="244">
        <v>26050.799999999999</v>
      </c>
      <c r="G5" s="53">
        <f>SUM('DOE25'!J198:J201)+SUM('DOE25'!J216:J219)+SUM('DOE25'!J234:J237)</f>
        <v>130516.62</v>
      </c>
      <c r="H5" s="53">
        <f>SUM('DOE25'!K198:K201)+SUM('DOE25'!K216:K219)+SUM('DOE25'!K234:K237)</f>
        <v>20578.989999999998</v>
      </c>
      <c r="I5" s="254"/>
    </row>
    <row r="6" spans="1:9" x14ac:dyDescent="0.2">
      <c r="A6" s="32">
        <v>2100</v>
      </c>
      <c r="B6" t="s">
        <v>796</v>
      </c>
      <c r="C6" s="273">
        <f t="shared" si="0"/>
        <v>1660117.7999999998</v>
      </c>
      <c r="D6" s="20">
        <f>'DOE25'!L203+'DOE25'!L221+'DOE25'!L239-F6-G6-H6</f>
        <v>1603090.89</v>
      </c>
      <c r="E6" s="243"/>
      <c r="F6" s="244">
        <v>52545.94</v>
      </c>
      <c r="G6" s="53">
        <f>'DOE25'!J203+'DOE25'!J221+'DOE25'!J239</f>
        <v>3843.9700000000003</v>
      </c>
      <c r="H6" s="53">
        <f>'DOE25'!K203+'DOE25'!K221+'DOE25'!K239</f>
        <v>637</v>
      </c>
      <c r="I6" s="254"/>
    </row>
    <row r="7" spans="1:9" x14ac:dyDescent="0.2">
      <c r="A7" s="32">
        <v>2200</v>
      </c>
      <c r="B7" t="s">
        <v>821</v>
      </c>
      <c r="C7" s="273">
        <f t="shared" si="0"/>
        <v>1503163.1800000002</v>
      </c>
      <c r="D7" s="20">
        <f>'DOE25'!L204+'DOE25'!L222+'DOE25'!L240-F7-G7-H7</f>
        <v>1262289.6500000001</v>
      </c>
      <c r="E7" s="243"/>
      <c r="F7" s="244">
        <f>64307.5+83720</f>
        <v>148027.5</v>
      </c>
      <c r="G7" s="53">
        <f>'DOE25'!J204+'DOE25'!J222+'DOE25'!J240</f>
        <v>79312.53</v>
      </c>
      <c r="H7" s="53">
        <f>'DOE25'!K204+'DOE25'!K222+'DOE25'!K240</f>
        <v>13533.5</v>
      </c>
      <c r="I7" s="254"/>
    </row>
    <row r="8" spans="1:9" x14ac:dyDescent="0.2">
      <c r="A8" s="32">
        <v>2300</v>
      </c>
      <c r="B8" t="s">
        <v>797</v>
      </c>
      <c r="C8" s="273">
        <f t="shared" si="0"/>
        <v>127899.66000000002</v>
      </c>
      <c r="D8" s="243"/>
      <c r="E8" s="20">
        <f>'DOE25'!L205+'DOE25'!L223+'DOE25'!L241-F8-G8-H8-D9-D11</f>
        <v>117559.83000000002</v>
      </c>
      <c r="F8" s="244"/>
      <c r="G8" s="53">
        <f>'DOE25'!J205+'DOE25'!J223+'DOE25'!J241</f>
        <v>2175.23</v>
      </c>
      <c r="H8" s="53">
        <f>'DOE25'!K205+'DOE25'!K223+'DOE25'!K241</f>
        <v>8164.6</v>
      </c>
      <c r="I8" s="254"/>
    </row>
    <row r="9" spans="1:9" ht="14.25" x14ac:dyDescent="0.2">
      <c r="A9" s="32">
        <v>2310</v>
      </c>
      <c r="B9" s="185" t="s">
        <v>888</v>
      </c>
      <c r="C9" s="273">
        <f t="shared" si="0"/>
        <v>89633.36</v>
      </c>
      <c r="D9" s="244">
        <v>89633.36</v>
      </c>
      <c r="E9" s="243"/>
      <c r="F9" s="251"/>
      <c r="G9" s="251"/>
      <c r="H9" s="251"/>
      <c r="I9" s="254"/>
    </row>
    <row r="10" spans="1:9" ht="14.25" x14ac:dyDescent="0.2">
      <c r="A10" s="32">
        <v>2317</v>
      </c>
      <c r="B10" s="185" t="s">
        <v>889</v>
      </c>
      <c r="C10" s="273">
        <f t="shared" si="0"/>
        <v>21750</v>
      </c>
      <c r="D10" s="243"/>
      <c r="E10" s="244">
        <v>21750</v>
      </c>
      <c r="F10" s="251"/>
      <c r="G10" s="251"/>
      <c r="H10" s="251"/>
      <c r="I10" s="254"/>
    </row>
    <row r="11" spans="1:9" ht="14.25" x14ac:dyDescent="0.2">
      <c r="A11" s="32">
        <v>2321</v>
      </c>
      <c r="B11" s="185" t="s">
        <v>890</v>
      </c>
      <c r="C11" s="273">
        <f t="shared" si="0"/>
        <v>377880.7</v>
      </c>
      <c r="D11" s="244">
        <v>377880.7</v>
      </c>
      <c r="E11" s="243"/>
      <c r="F11" s="251"/>
      <c r="G11" s="251"/>
      <c r="H11" s="251"/>
      <c r="I11" s="254"/>
    </row>
    <row r="12" spans="1:9" x14ac:dyDescent="0.2">
      <c r="A12" s="32">
        <v>2400</v>
      </c>
      <c r="B12" t="s">
        <v>711</v>
      </c>
      <c r="C12" s="273">
        <f t="shared" si="0"/>
        <v>1733775.33</v>
      </c>
      <c r="D12" s="20">
        <f>'DOE25'!L206+'DOE25'!L224+'DOE25'!L242-F12-G12-H12</f>
        <v>1716770.1300000001</v>
      </c>
      <c r="E12" s="243"/>
      <c r="F12" s="244"/>
      <c r="G12" s="53">
        <f>'DOE25'!J206+'DOE25'!J224+'DOE25'!J242</f>
        <v>12409.2</v>
      </c>
      <c r="H12" s="53">
        <f>'DOE25'!K206+'DOE25'!K224+'DOE25'!K242</f>
        <v>4596</v>
      </c>
      <c r="I12" s="254"/>
    </row>
    <row r="13" spans="1:9" x14ac:dyDescent="0.2">
      <c r="A13" s="32">
        <v>2500</v>
      </c>
      <c r="B13" t="s">
        <v>798</v>
      </c>
      <c r="C13" s="273">
        <f t="shared" si="0"/>
        <v>409006.65</v>
      </c>
      <c r="D13" s="243"/>
      <c r="E13" s="20">
        <f>'DOE25'!L207+'DOE25'!L225+'DOE25'!L243-F13-G13-H13</f>
        <v>406169.08</v>
      </c>
      <c r="F13" s="244"/>
      <c r="G13" s="53">
        <f>'DOE25'!J207+'DOE25'!J225+'DOE25'!J243</f>
        <v>2347.5699999999997</v>
      </c>
      <c r="H13" s="53">
        <f>'DOE25'!K207+'DOE25'!K225+'DOE25'!K243</f>
        <v>490</v>
      </c>
      <c r="I13" s="254"/>
    </row>
    <row r="14" spans="1:9" x14ac:dyDescent="0.2">
      <c r="A14" s="32">
        <v>2600</v>
      </c>
      <c r="B14" t="s">
        <v>819</v>
      </c>
      <c r="C14" s="273">
        <f t="shared" si="0"/>
        <v>2975731.05</v>
      </c>
      <c r="D14" s="20">
        <f>'DOE25'!L208+'DOE25'!L226+'DOE25'!L244-F14-G14-H14</f>
        <v>2925033.13</v>
      </c>
      <c r="E14" s="243"/>
      <c r="F14" s="244">
        <v>34162.5</v>
      </c>
      <c r="G14" s="53">
        <f>'DOE25'!J208+'DOE25'!J226+'DOE25'!J244</f>
        <v>16274.380000000001</v>
      </c>
      <c r="H14" s="53">
        <f>'DOE25'!K208+'DOE25'!K226+'DOE25'!K244</f>
        <v>261.04000000000002</v>
      </c>
      <c r="I14" s="254"/>
    </row>
    <row r="15" spans="1:9" x14ac:dyDescent="0.2">
      <c r="A15" s="32">
        <v>2700</v>
      </c>
      <c r="B15" t="s">
        <v>799</v>
      </c>
      <c r="C15" s="273">
        <f t="shared" si="0"/>
        <v>1298431.69</v>
      </c>
      <c r="D15" s="20">
        <f>'DOE25'!L209+'DOE25'!L227+'DOE25'!L245-F15-G15-H15</f>
        <v>1230376.22</v>
      </c>
      <c r="E15" s="243"/>
      <c r="F15" s="244">
        <f>26934+25736.64</f>
        <v>52670.64</v>
      </c>
      <c r="G15" s="53">
        <f>'DOE25'!J209+'DOE25'!J227+'DOE25'!J245</f>
        <v>15384.830000000002</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839662.82</v>
      </c>
      <c r="D22" s="243"/>
      <c r="E22" s="243"/>
      <c r="F22" s="243"/>
      <c r="G22" s="53">
        <f>'DOE25'!L256+'DOE25'!L337</f>
        <v>839662.82</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115400</v>
      </c>
      <c r="D25" s="243"/>
      <c r="E25" s="243"/>
      <c r="F25" s="253"/>
      <c r="G25" s="251"/>
      <c r="H25" s="251"/>
      <c r="I25" s="252">
        <f>'DOE25'!L261+'DOE25'!L262+'DOE25'!L342+'DOE25'!L343</f>
        <v>115400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508401.76999999996</v>
      </c>
      <c r="D29" s="281">
        <f>'DOE25'!L359+'DOE25'!L360+'DOE25'!L361-'DOE25'!I368-F29-G29-H29</f>
        <v>50364.069999999942</v>
      </c>
      <c r="E29" s="243"/>
      <c r="F29" s="244">
        <v>439034.52</v>
      </c>
      <c r="G29" s="53">
        <f>'DOE25'!J359+'DOE25'!J360+'DOE25'!J361</f>
        <v>19003.18</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1476762.4499999997</v>
      </c>
      <c r="D31" s="20">
        <f>'DOE25'!L291+'DOE25'!L310+'DOE25'!L329+'DOE25'!L334+'DOE25'!L335+'DOE25'!L336-F31-G31-H31</f>
        <v>1306580.1499999997</v>
      </c>
      <c r="E31" s="243"/>
      <c r="F31" s="244"/>
      <c r="G31" s="53">
        <f>'DOE25'!J291+'DOE25'!J310+'DOE25'!J329+'DOE25'!J334+'DOE25'!J335+'DOE25'!J336</f>
        <v>142658.1</v>
      </c>
      <c r="H31" s="53">
        <f>'DOE25'!K291+'DOE25'!K310+'DOE25'!K329+'DOE25'!K334+'DOE25'!K335+'DOE25'!K336</f>
        <v>27524.199999999997</v>
      </c>
      <c r="I31" s="254"/>
    </row>
    <row r="32" spans="1:9" ht="12" thickBot="1" x14ac:dyDescent="0.25">
      <c r="C32" s="274"/>
      <c r="G32" s="249"/>
      <c r="H32" s="249"/>
      <c r="I32" s="256"/>
    </row>
    <row r="33" spans="1:9" ht="12" thickTop="1" x14ac:dyDescent="0.2">
      <c r="B33" t="s">
        <v>809</v>
      </c>
      <c r="D33" s="245">
        <f t="shared" ref="D33:I33" si="1">SUM(D5:D31)</f>
        <v>29277440.739999995</v>
      </c>
      <c r="E33" s="245">
        <f t="shared" si="1"/>
        <v>545478.91</v>
      </c>
      <c r="F33" s="245">
        <f t="shared" si="1"/>
        <v>752491.9</v>
      </c>
      <c r="G33" s="245">
        <f t="shared" si="1"/>
        <v>1263588.43</v>
      </c>
      <c r="H33" s="245">
        <f t="shared" si="1"/>
        <v>75785.329999999987</v>
      </c>
      <c r="I33" s="245">
        <f t="shared" si="1"/>
        <v>115400</v>
      </c>
    </row>
    <row r="35" spans="1:9" ht="12" thickBot="1" x14ac:dyDescent="0.25">
      <c r="B35" s="249" t="s">
        <v>831</v>
      </c>
      <c r="D35" s="250">
        <f>E33</f>
        <v>545478.91</v>
      </c>
      <c r="E35" s="246"/>
      <c r="F35" s="333" t="s">
        <v>1632</v>
      </c>
      <c r="G35" s="334"/>
      <c r="H35" s="334"/>
      <c r="I35" s="334"/>
    </row>
    <row r="36" spans="1:9" ht="12" thickTop="1" x14ac:dyDescent="0.2">
      <c r="B36" t="s">
        <v>810</v>
      </c>
      <c r="D36" s="20">
        <f>D33</f>
        <v>29277440.739999995</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I22" sqref="I2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Fall Mountain Regional School District</v>
      </c>
      <c r="B2" s="126">
        <f>'DOE25'!B2</f>
        <v>174</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20450099.100000001</v>
      </c>
      <c r="G4" s="300">
        <f>'DOE25'!L212+'DOE25'!L291</f>
        <v>20450099.099999998</v>
      </c>
      <c r="H4" s="353">
        <f>F4-G4</f>
        <v>0</v>
      </c>
      <c r="I4" s="373" t="str">
        <f>IF(H4=0,"","ISSUES!! Please review page 7 and 11 totals in comparison with total on this page")</f>
        <v/>
      </c>
      <c r="N4"/>
    </row>
    <row r="5" spans="1:18" x14ac:dyDescent="0.2">
      <c r="A5" s="359" t="s">
        <v>1672</v>
      </c>
      <c r="B5" s="301">
        <f>IFERROR(VLOOKUP(A5,'School Tables'!$C$3:$D$365,2,FALSE),"")</f>
        <v>22970</v>
      </c>
      <c r="C5" s="294" t="str">
        <f>IFERROR(INDEX('School Tables'!$B$3:$B$365,MATCH('School Level Expenditures'!B5,'School Tables'!$D$3:$D$365,0)),"")</f>
        <v>Fall Mountain Regional</v>
      </c>
      <c r="D5" s="291">
        <v>2269799.2400000002</v>
      </c>
      <c r="E5" s="291">
        <v>80214.259999999995</v>
      </c>
      <c r="F5" s="304">
        <f>D5+E5</f>
        <v>2350013.5</v>
      </c>
      <c r="G5" s="294"/>
      <c r="H5" s="294"/>
      <c r="I5" s="374"/>
      <c r="N5"/>
    </row>
    <row r="6" spans="1:18" x14ac:dyDescent="0.2">
      <c r="A6" s="359" t="s">
        <v>1037</v>
      </c>
      <c r="B6" s="301">
        <f>IFERROR(VLOOKUP(A6,'School Tables'!$C$3:$D$365,2,FALSE),"")</f>
        <v>22965</v>
      </c>
      <c r="C6" s="294" t="str">
        <f>IFERROR(INDEX('School Tables'!$B$3:$B$365,MATCH('School Level Expenditures'!B6,'School Tables'!$D$3:$D$365,0)),"")</f>
        <v>Fall Mountain Regional</v>
      </c>
      <c r="D6" s="291">
        <v>1485184.53</v>
      </c>
      <c r="E6" s="291">
        <v>68755.070000000007</v>
      </c>
      <c r="F6" s="304">
        <f t="shared" ref="F6:F20" si="0">D6+E6</f>
        <v>1553939.6</v>
      </c>
      <c r="G6" s="294"/>
      <c r="H6" s="294"/>
      <c r="I6" s="374"/>
      <c r="N6"/>
    </row>
    <row r="7" spans="1:18" x14ac:dyDescent="0.2">
      <c r="A7" s="359" t="s">
        <v>1036</v>
      </c>
      <c r="B7" s="301">
        <f>IFERROR(VLOOKUP(A7,'School Tables'!$C$3:$D$365,2,FALSE),"")</f>
        <v>22960</v>
      </c>
      <c r="C7" s="294" t="str">
        <f>IFERROR(INDEX('School Tables'!$B$3:$B$365,MATCH('School Level Expenditures'!B7,'School Tables'!$D$3:$D$365,0)),"")</f>
        <v>Fall Mountain Regional</v>
      </c>
      <c r="D7" s="291">
        <v>845878.71</v>
      </c>
      <c r="E7" s="291">
        <v>76083.62</v>
      </c>
      <c r="F7" s="304">
        <f t="shared" si="0"/>
        <v>921962.33</v>
      </c>
      <c r="G7" s="294"/>
      <c r="H7" s="294"/>
      <c r="I7" s="354"/>
      <c r="N7"/>
    </row>
    <row r="8" spans="1:18" x14ac:dyDescent="0.2">
      <c r="A8" s="359" t="s">
        <v>1043</v>
      </c>
      <c r="B8" s="301">
        <f>IFERROR(VLOOKUP(A8,'School Tables'!$C$3:$D$365,2,FALSE),"")</f>
        <v>22995</v>
      </c>
      <c r="C8" s="294" t="str">
        <f>IFERROR(INDEX('School Tables'!$B$3:$B$365,MATCH('School Level Expenditures'!B8,'School Tables'!$D$3:$D$365,0)),"")</f>
        <v>Fall Mountain Regional</v>
      </c>
      <c r="D8" s="291">
        <v>626522.02</v>
      </c>
      <c r="E8" s="291">
        <v>46991.51</v>
      </c>
      <c r="F8" s="304">
        <f t="shared" si="0"/>
        <v>673513.53</v>
      </c>
      <c r="G8" s="294"/>
      <c r="H8" s="294"/>
      <c r="I8" s="354"/>
      <c r="N8"/>
    </row>
    <row r="9" spans="1:18" x14ac:dyDescent="0.2">
      <c r="A9" s="359" t="s">
        <v>1039</v>
      </c>
      <c r="B9" s="301">
        <f>IFERROR(VLOOKUP(A9,'School Tables'!$C$3:$D$365,2,FALSE),"")</f>
        <v>22975</v>
      </c>
      <c r="C9" s="294" t="str">
        <f>IFERROR(INDEX('School Tables'!$B$3:$B$365,MATCH('School Level Expenditures'!B9,'School Tables'!$D$3:$D$365,0)),"")</f>
        <v>Fall Mountain Regional</v>
      </c>
      <c r="D9" s="291">
        <v>3003107.1</v>
      </c>
      <c r="E9" s="291">
        <v>168760.1</v>
      </c>
      <c r="F9" s="304">
        <f t="shared" si="0"/>
        <v>3171867.2</v>
      </c>
      <c r="G9" s="294"/>
      <c r="H9" s="294"/>
      <c r="I9" s="354"/>
      <c r="N9"/>
    </row>
    <row r="10" spans="1:18" x14ac:dyDescent="0.2">
      <c r="A10" s="359" t="s">
        <v>1041</v>
      </c>
      <c r="B10" s="301">
        <f>IFERROR(VLOOKUP(A10,'School Tables'!$C$3:$D$365,2,FALSE),"")</f>
        <v>22985</v>
      </c>
      <c r="C10" s="294" t="str">
        <f>IFERROR(INDEX('School Tables'!$B$3:$B$365,MATCH('School Level Expenditures'!B10,'School Tables'!$D$3:$D$365,0)),"")</f>
        <v>Fall Mountain Regional</v>
      </c>
      <c r="D10" s="291">
        <v>3873281.35</v>
      </c>
      <c r="E10" s="291">
        <v>258619.38</v>
      </c>
      <c r="F10" s="304">
        <f t="shared" si="0"/>
        <v>4131900.73</v>
      </c>
      <c r="G10" s="294"/>
      <c r="H10" s="294"/>
      <c r="I10" s="126"/>
      <c r="N10"/>
    </row>
    <row r="11" spans="1:18" x14ac:dyDescent="0.2">
      <c r="A11" s="21" t="s">
        <v>1040</v>
      </c>
      <c r="B11" s="301">
        <f>IFERROR(VLOOKUP(A11,'School Tables'!$C$3:$D$365,2,FALSE),"")</f>
        <v>22980</v>
      </c>
      <c r="C11" s="294" t="str">
        <f>IFERROR(INDEX('School Tables'!$B$3:$B$365,MATCH('School Level Expenditures'!B11,'School Tables'!$D$3:$D$365,0)),"")</f>
        <v>Fall Mountain Regional</v>
      </c>
      <c r="D11" s="291">
        <v>1386084.01</v>
      </c>
      <c r="E11" s="291">
        <v>78900.83</v>
      </c>
      <c r="F11" s="304">
        <f t="shared" si="0"/>
        <v>1464984.84</v>
      </c>
      <c r="G11" s="294"/>
      <c r="H11" s="294"/>
      <c r="I11" s="126"/>
      <c r="N11"/>
    </row>
    <row r="12" spans="1:18" x14ac:dyDescent="0.2">
      <c r="A12" s="21" t="s">
        <v>1046</v>
      </c>
      <c r="B12" s="301">
        <f>IFERROR(VLOOKUP(A12,'School Tables'!$C$3:$D$365,2,FALSE),"")</f>
        <v>23015</v>
      </c>
      <c r="C12" s="294" t="str">
        <f>IFERROR(INDEX('School Tables'!$B$3:$B$365,MATCH('School Level Expenditures'!B12,'School Tables'!$D$3:$D$365,0)),"")</f>
        <v>Fall Mountain Regional</v>
      </c>
      <c r="D12" s="291">
        <v>3080603.81</v>
      </c>
      <c r="E12" s="291">
        <v>140365.51999999999</v>
      </c>
      <c r="F12" s="304">
        <f t="shared" si="0"/>
        <v>3220969.33</v>
      </c>
      <c r="G12" s="294"/>
      <c r="H12" s="294"/>
      <c r="I12" s="126"/>
      <c r="N12"/>
    </row>
    <row r="13" spans="1:18" x14ac:dyDescent="0.2">
      <c r="A13" s="21" t="s">
        <v>1045</v>
      </c>
      <c r="B13" s="301">
        <f>IFERROR(VLOOKUP(A13,'School Tables'!$C$3:$D$365,2,FALSE),"")</f>
        <v>23010</v>
      </c>
      <c r="C13" s="294" t="str">
        <f>IFERROR(INDEX('School Tables'!$B$3:$B$365,MATCH('School Level Expenditures'!B13,'School Tables'!$D$3:$D$365,0)),"")</f>
        <v>Fall Mountain Regional</v>
      </c>
      <c r="D13" s="291">
        <v>1339492.1499999999</v>
      </c>
      <c r="E13" s="291">
        <v>95753.22</v>
      </c>
      <c r="F13" s="304">
        <f t="shared" si="0"/>
        <v>1435245.3699999999</v>
      </c>
      <c r="G13" s="294"/>
      <c r="H13" s="294"/>
      <c r="I13" s="126"/>
      <c r="N13"/>
    </row>
    <row r="14" spans="1:18" x14ac:dyDescent="0.2">
      <c r="A14" s="21" t="s">
        <v>1044</v>
      </c>
      <c r="B14" s="301">
        <f>IFERROR(VLOOKUP(A14,'School Tables'!$C$3:$D$365,2,FALSE),"")</f>
        <v>23005</v>
      </c>
      <c r="C14" s="294" t="str">
        <f>IFERROR(INDEX('School Tables'!$B$3:$B$365,MATCH('School Level Expenditures'!B14,'School Tables'!$D$3:$D$365,0)),"")</f>
        <v>Fall Mountain Regional</v>
      </c>
      <c r="D14" s="291">
        <v>1431037.55</v>
      </c>
      <c r="E14" s="291">
        <v>94665.12</v>
      </c>
      <c r="F14" s="304">
        <f t="shared" si="0"/>
        <v>1525702.67</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19340990.469999999</v>
      </c>
      <c r="E21" s="351">
        <f>SUM(E5:E20)</f>
        <v>1109108.6299999999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3"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10094871.620000001</v>
      </c>
      <c r="G36" s="300">
        <f>'DOE25'!L248+'DOE25'!L329</f>
        <v>10094871.620000001</v>
      </c>
      <c r="H36" s="353">
        <f>F36-G36</f>
        <v>0</v>
      </c>
      <c r="I36" s="373" t="str">
        <f>IF(H36=0,"","ISSUES!! Please review page 9 and 13 totals in comparison with total on this page")</f>
        <v/>
      </c>
      <c r="N36"/>
    </row>
    <row r="37" spans="1:14" x14ac:dyDescent="0.2">
      <c r="A37" s="359" t="s">
        <v>1042</v>
      </c>
      <c r="B37" s="301">
        <f>IFERROR(VLOOKUP(A37,'School Tables'!$O$3:$P$118,2,FALSE),"")</f>
        <v>22990</v>
      </c>
      <c r="C37" s="294" t="str">
        <f t="array" ref="C37">IFERROR(INDEX('School Tables'!$N$3:$N$118,MATCH('School Level Expenditures'!B37,'School Tables'!$P$3:$P$118,0)),"")</f>
        <v>Fall Mountain Regional</v>
      </c>
      <c r="D37" s="291">
        <v>9727217.8000000007</v>
      </c>
      <c r="E37" s="291">
        <v>367653.82</v>
      </c>
      <c r="F37" s="304">
        <f t="shared" ref="F37:F42" si="2">D37+E37</f>
        <v>10094871.620000001</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9727217.8000000007</v>
      </c>
      <c r="E43" s="352">
        <f>SUM(E37:E42)</f>
        <v>367653.82</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9" activePane="bottomLeft" state="frozen"/>
      <selection activeCell="F46" sqref="F46"/>
      <selection pane="bottomLeft" activeCell="K103" sqref="K10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Fall Mountain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3378740.3800000004</v>
      </c>
      <c r="D8" s="95">
        <f>'DOE25'!G9</f>
        <v>0</v>
      </c>
      <c r="E8" s="95">
        <f>'DOE25'!H9</f>
        <v>202294.56</v>
      </c>
      <c r="F8" s="95">
        <f>'DOE25'!I9</f>
        <v>0</v>
      </c>
      <c r="G8" s="95">
        <f>'DOE25'!J9</f>
        <v>0</v>
      </c>
      <c r="H8" s="124"/>
      <c r="I8" s="124"/>
    </row>
    <row r="9" spans="1:9" x14ac:dyDescent="0.2">
      <c r="A9" s="1" t="s">
        <v>140</v>
      </c>
      <c r="B9" s="6">
        <v>110</v>
      </c>
      <c r="C9" s="95">
        <f>'DOE25'!F10</f>
        <v>3024.35</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319499.49</v>
      </c>
      <c r="D11" s="95">
        <f>'DOE25'!G12</f>
        <v>0</v>
      </c>
      <c r="E11" s="95">
        <f>'DOE25'!H12</f>
        <v>0</v>
      </c>
      <c r="F11" s="95">
        <f>'DOE25'!I12</f>
        <v>0</v>
      </c>
      <c r="G11" s="95">
        <f>'DOE25'!J12</f>
        <v>0</v>
      </c>
      <c r="H11" s="124"/>
      <c r="I11" s="124"/>
    </row>
    <row r="12" spans="1:9" x14ac:dyDescent="0.2">
      <c r="A12" s="1" t="s">
        <v>143</v>
      </c>
      <c r="B12" s="6">
        <v>140</v>
      </c>
      <c r="C12" s="95">
        <f>'DOE25'!F13</f>
        <v>78742.94</v>
      </c>
      <c r="D12" s="95">
        <f>'DOE25'!G13</f>
        <v>169771.51</v>
      </c>
      <c r="E12" s="95">
        <f>'DOE25'!H13</f>
        <v>416289.91</v>
      </c>
      <c r="F12" s="95">
        <f>'DOE25'!I13</f>
        <v>0</v>
      </c>
      <c r="G12" s="95">
        <f>'DOE25'!J13</f>
        <v>2899419.63</v>
      </c>
      <c r="H12" s="124"/>
      <c r="I12" s="124"/>
    </row>
    <row r="13" spans="1:9" x14ac:dyDescent="0.2">
      <c r="A13" s="1" t="s">
        <v>144</v>
      </c>
      <c r="B13" s="6">
        <v>150</v>
      </c>
      <c r="C13" s="95">
        <f>'DOE25'!F14</f>
        <v>115412.71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20554.64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3895419.8700000006</v>
      </c>
      <c r="D18" s="41">
        <f>SUM(D8:D17)</f>
        <v>190326.15000000002</v>
      </c>
      <c r="E18" s="41">
        <f>SUM(E8:E17)</f>
        <v>618584.47</v>
      </c>
      <c r="F18" s="41">
        <f>SUM(F8:F17)</f>
        <v>0</v>
      </c>
      <c r="G18" s="41">
        <f>SUM(G8:G17)</f>
        <v>2899419.63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70292.070000000007</v>
      </c>
      <c r="E21" s="95">
        <f>'DOE25'!H22</f>
        <v>252483.6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797945.73</v>
      </c>
      <c r="D23" s="95">
        <f>'DOE25'!G24</f>
        <v>68367.100000000006</v>
      </c>
      <c r="E23" s="95">
        <f>'DOE25'!H24</f>
        <v>799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1560280.71</v>
      </c>
      <c r="D27" s="95">
        <f>'DOE25'!G28</f>
        <v>0</v>
      </c>
      <c r="E27" s="95">
        <f>'DOE25'!H28</f>
        <v>55603.35</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13115.44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2358226.44</v>
      </c>
      <c r="D31" s="41">
        <f>SUM(D21:D30)</f>
        <v>151774.61000000002</v>
      </c>
      <c r="E31" s="41">
        <f>SUM(E21:E30)</f>
        <v>308885.95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20554.64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17996.900000000001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309698.52</v>
      </c>
      <c r="F47" s="95">
        <f>'DOE25'!I48</f>
        <v>0</v>
      </c>
      <c r="G47" s="95">
        <f>'DOE25'!J48</f>
        <v>2899419.63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1537193.4299999997</v>
      </c>
      <c r="D49" s="24" t="s">
        <v>288</v>
      </c>
      <c r="E49" s="24" t="s">
        <v>288</v>
      </c>
      <c r="F49" s="24" t="s">
        <v>288</v>
      </c>
      <c r="G49" s="24" t="s">
        <v>288</v>
      </c>
      <c r="H49" s="124"/>
      <c r="I49" s="124"/>
    </row>
    <row r="50" spans="1:9" ht="12.75" thickTop="1" thickBot="1" x14ac:dyDescent="0.25">
      <c r="A50" s="38" t="s">
        <v>884</v>
      </c>
      <c r="B50" s="48"/>
      <c r="C50" s="41">
        <f>SUM(C34:C49)</f>
        <v>1537193.4299999997</v>
      </c>
      <c r="D50" s="41">
        <f>SUM(D34:D49)</f>
        <v>38551.54</v>
      </c>
      <c r="E50" s="41">
        <f>SUM(E34:E49)</f>
        <v>309698.52</v>
      </c>
      <c r="F50" s="41">
        <f>SUM(F34:F49)</f>
        <v>0</v>
      </c>
      <c r="G50" s="41">
        <f>SUM(G34:G49)</f>
        <v>2899419.63</v>
      </c>
      <c r="H50" s="124"/>
      <c r="I50" s="124"/>
    </row>
    <row r="51" spans="1:9" ht="12" thickTop="1" x14ac:dyDescent="0.2">
      <c r="A51" s="38" t="s">
        <v>885</v>
      </c>
      <c r="B51" s="2"/>
      <c r="C51" s="41">
        <f>C50+C31</f>
        <v>3895419.8699999996</v>
      </c>
      <c r="D51" s="41">
        <f>D50+D31</f>
        <v>190326.15000000002</v>
      </c>
      <c r="E51" s="41">
        <f>E50+E31</f>
        <v>618584.47</v>
      </c>
      <c r="F51" s="41">
        <f>F50+F31</f>
        <v>0</v>
      </c>
      <c r="G51" s="41">
        <f>G50+G31</f>
        <v>2899419.63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17991021</v>
      </c>
      <c r="D56" s="95">
        <f>'DOE25'!G60</f>
        <v>0</v>
      </c>
      <c r="E56" s="95">
        <f>'DOE25'!H60</f>
        <v>0</v>
      </c>
      <c r="F56" s="95">
        <f>'DOE25'!I60</f>
        <v>0</v>
      </c>
      <c r="G56" s="95">
        <f>'DOE25'!J60</f>
        <v>0</v>
      </c>
      <c r="H56"/>
      <c r="I56"/>
    </row>
    <row r="57" spans="1:9" x14ac:dyDescent="0.2">
      <c r="A57" s="1" t="s">
        <v>164</v>
      </c>
      <c r="B57" s="6" t="s">
        <v>165</v>
      </c>
      <c r="C57" s="95">
        <f>'DOE25'!F79</f>
        <v>634615.65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41359.31</v>
      </c>
      <c r="D59" s="95">
        <f>'DOE25'!G96</f>
        <v>0</v>
      </c>
      <c r="E59" s="95">
        <f>'DOE25'!H96</f>
        <v>0</v>
      </c>
      <c r="F59" s="95">
        <f>'DOE25'!I96</f>
        <v>0</v>
      </c>
      <c r="G59" s="95">
        <f>'DOE25'!J96</f>
        <v>28382.61</v>
      </c>
      <c r="H59"/>
      <c r="I59"/>
    </row>
    <row r="60" spans="1:9" x14ac:dyDescent="0.2">
      <c r="A60" s="1" t="s">
        <v>170</v>
      </c>
      <c r="B60" s="118" t="s">
        <v>171</v>
      </c>
      <c r="C60" s="24" t="s">
        <v>288</v>
      </c>
      <c r="D60" s="95">
        <f>'DOE25'!G97</f>
        <v>9382.9500000000007</v>
      </c>
      <c r="E60" s="24" t="s">
        <v>288</v>
      </c>
      <c r="F60" s="24" t="s">
        <v>288</v>
      </c>
      <c r="G60" s="24" t="s">
        <v>288</v>
      </c>
      <c r="H60"/>
      <c r="I60"/>
    </row>
    <row r="61" spans="1:9" ht="12" thickBot="1" x14ac:dyDescent="0.25">
      <c r="A61" s="1" t="s">
        <v>172</v>
      </c>
      <c r="B61" s="118" t="s">
        <v>173</v>
      </c>
      <c r="C61" s="95">
        <f>SUM('DOE25'!F98:F110)</f>
        <v>67940.61</v>
      </c>
      <c r="D61" s="95">
        <f>SUM('DOE25'!G98:G110)</f>
        <v>0</v>
      </c>
      <c r="E61" s="95">
        <f>SUM('DOE25'!H98:H110)</f>
        <v>98997.89</v>
      </c>
      <c r="F61" s="95">
        <f>SUM('DOE25'!I98:I110)</f>
        <v>0</v>
      </c>
      <c r="G61" s="95">
        <f>SUM('DOE25'!J98:J110)</f>
        <v>0</v>
      </c>
      <c r="H61"/>
      <c r="I61"/>
    </row>
    <row r="62" spans="1:9" ht="12.75" thickTop="1" thickBot="1" x14ac:dyDescent="0.25">
      <c r="A62" s="29" t="s">
        <v>174</v>
      </c>
      <c r="B62" s="6"/>
      <c r="C62" s="130">
        <f>SUM(C57:C61)</f>
        <v>743915.57</v>
      </c>
      <c r="D62" s="130">
        <f>SUM(D57:D61)</f>
        <v>9382.9500000000007</v>
      </c>
      <c r="E62" s="130">
        <f>SUM(E57:E61)</f>
        <v>98997.89</v>
      </c>
      <c r="F62" s="130">
        <f>SUM(F57:F61)</f>
        <v>0</v>
      </c>
      <c r="G62" s="130">
        <f>SUM(G57:G61)</f>
        <v>28382.61</v>
      </c>
      <c r="H62"/>
      <c r="I62"/>
    </row>
    <row r="63" spans="1:9" ht="12" thickTop="1" x14ac:dyDescent="0.2">
      <c r="A63" s="29" t="s">
        <v>175</v>
      </c>
      <c r="B63" s="6"/>
      <c r="C63" s="22">
        <f>C56+C62</f>
        <v>18734936.57</v>
      </c>
      <c r="D63" s="22">
        <f>D56+D62</f>
        <v>9382.9500000000007</v>
      </c>
      <c r="E63" s="22">
        <f>E56+E62</f>
        <v>98997.89</v>
      </c>
      <c r="F63" s="22">
        <f>F56+F62</f>
        <v>0</v>
      </c>
      <c r="G63" s="22">
        <f>G56+G62</f>
        <v>28382.61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9677668.3100000005</v>
      </c>
      <c r="D66" s="24" t="s">
        <v>288</v>
      </c>
      <c r="E66" s="24" t="s">
        <v>288</v>
      </c>
      <c r="F66" s="24" t="s">
        <v>288</v>
      </c>
      <c r="G66" s="24" t="s">
        <v>288</v>
      </c>
      <c r="H66"/>
      <c r="I66"/>
    </row>
    <row r="67" spans="1:9" x14ac:dyDescent="0.2">
      <c r="A67" s="1" t="s">
        <v>770</v>
      </c>
      <c r="B67" s="6">
        <v>3112</v>
      </c>
      <c r="C67" s="95">
        <f>'DOE25'!F118</f>
        <v>2023603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4652.83</v>
      </c>
      <c r="D69" s="95">
        <f>'DOE25'!G120</f>
        <v>0</v>
      </c>
      <c r="E69" s="95">
        <f>'DOE25'!H120</f>
        <v>0</v>
      </c>
      <c r="F69" s="95">
        <f>'DOE25'!I120</f>
        <v>0</v>
      </c>
      <c r="G69" s="95">
        <f>'DOE25'!J120</f>
        <v>0</v>
      </c>
      <c r="H69"/>
      <c r="I69"/>
    </row>
    <row r="70" spans="1:9" ht="12" thickTop="1" x14ac:dyDescent="0.2">
      <c r="A70" s="29" t="s">
        <v>252</v>
      </c>
      <c r="B70" s="2"/>
      <c r="C70" s="139">
        <f>SUM(C66:C69)</f>
        <v>11705924.140000001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57038.49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170711.1</v>
      </c>
      <c r="D75" s="24" t="s">
        <v>288</v>
      </c>
      <c r="E75" s="24" t="s">
        <v>288</v>
      </c>
      <c r="F75" s="24" t="s">
        <v>288</v>
      </c>
      <c r="G75" s="24" t="s">
        <v>288</v>
      </c>
      <c r="H75"/>
      <c r="I75"/>
    </row>
    <row r="76" spans="1:9" x14ac:dyDescent="0.2">
      <c r="A76" s="1" t="s">
        <v>257</v>
      </c>
      <c r="B76" s="6" t="s">
        <v>179</v>
      </c>
      <c r="C76" s="95">
        <f>SUM('DOE25'!F127:F130)</f>
        <v>116753.43000000001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13511.05</v>
      </c>
      <c r="E77" s="95">
        <f>SUM('DOE25'!H131:H135)</f>
        <v>0</v>
      </c>
      <c r="F77" s="95">
        <f>SUM('DOE25'!I131:I135)</f>
        <v>0</v>
      </c>
      <c r="G77" s="95">
        <f>SUM('DOE25'!J131:J135)</f>
        <v>0</v>
      </c>
      <c r="H77"/>
      <c r="I77"/>
    </row>
    <row r="78" spans="1:9" ht="12.75" thickTop="1" thickBot="1" x14ac:dyDescent="0.25">
      <c r="A78" s="29" t="s">
        <v>259</v>
      </c>
      <c r="B78" s="6"/>
      <c r="C78" s="130">
        <f>SUM(C72:C77)</f>
        <v>344503.02</v>
      </c>
      <c r="D78" s="130">
        <f>SUM(D72:D77)</f>
        <v>13511.05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12050427.16</v>
      </c>
      <c r="D81" s="130">
        <f>SUM(D79:D80)+D78+D70</f>
        <v>13511.05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212130.29</v>
      </c>
      <c r="D88" s="331">
        <f>SUM('DOE25'!G153:G162)</f>
        <v>842882.98</v>
      </c>
      <c r="E88" s="331">
        <f>SUM('DOE25'!H153:H162)</f>
        <v>1406495.56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212130.29</v>
      </c>
      <c r="D91" s="131">
        <f>SUM(D85:D90)</f>
        <v>842882.98</v>
      </c>
      <c r="E91" s="131">
        <f>SUM(E85:E90)</f>
        <v>1406495.56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128361.22</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128361.22</v>
      </c>
      <c r="D103" s="86">
        <f>SUM(D93:D102)</f>
        <v>0</v>
      </c>
      <c r="E103" s="86">
        <f>SUM(E93:E102)</f>
        <v>0</v>
      </c>
      <c r="F103" s="86">
        <f>SUM(F93:F102)</f>
        <v>0</v>
      </c>
      <c r="G103" s="86">
        <f>SUM(G93:G102)</f>
        <v>500000</v>
      </c>
    </row>
    <row r="104" spans="1:7" ht="12.75" thickTop="1" thickBot="1" x14ac:dyDescent="0.25">
      <c r="A104" s="33" t="s">
        <v>761</v>
      </c>
      <c r="C104" s="86">
        <f>C63+C81+C91+C103</f>
        <v>31125855.239999998</v>
      </c>
      <c r="D104" s="86">
        <f>D63+D81+D91+D103</f>
        <v>865776.98</v>
      </c>
      <c r="E104" s="86">
        <f>E63+E81+E91+E103</f>
        <v>1505493.45</v>
      </c>
      <c r="F104" s="86">
        <f>F63+F81+F91+F103</f>
        <v>0</v>
      </c>
      <c r="G104" s="86">
        <f>G63+G81+G103</f>
        <v>528382.61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11017691.370000001</v>
      </c>
      <c r="D109" s="24" t="s">
        <v>288</v>
      </c>
      <c r="E109" s="95">
        <f>('DOE25'!L277)+('DOE25'!L296)+('DOE25'!L315)</f>
        <v>600081.24000000011</v>
      </c>
      <c r="F109" s="24" t="s">
        <v>288</v>
      </c>
      <c r="G109" s="24" t="s">
        <v>288</v>
      </c>
    </row>
    <row r="110" spans="1:7" x14ac:dyDescent="0.2">
      <c r="A110" t="s">
        <v>198</v>
      </c>
      <c r="B110" s="32" t="s">
        <v>199</v>
      </c>
      <c r="C110" s="95">
        <f>('DOE25'!L199)+('DOE25'!L217)+('DOE25'!L235)</f>
        <v>6791195.6500000004</v>
      </c>
      <c r="D110" s="24" t="s">
        <v>288</v>
      </c>
      <c r="E110" s="95">
        <f>('DOE25'!L278)+('DOE25'!L297)+('DOE25'!L316)</f>
        <v>33116.009999999995</v>
      </c>
      <c r="F110" s="24" t="s">
        <v>288</v>
      </c>
      <c r="G110" s="24" t="s">
        <v>288</v>
      </c>
    </row>
    <row r="111" spans="1:7" x14ac:dyDescent="0.2">
      <c r="A111" t="s">
        <v>200</v>
      </c>
      <c r="B111" s="32" t="s">
        <v>165</v>
      </c>
      <c r="C111" s="95">
        <f>('DOE25'!L200)+('DOE25'!L218)+('DOE25'!L236)</f>
        <v>683699.59000000008</v>
      </c>
      <c r="D111" s="24" t="s">
        <v>288</v>
      </c>
      <c r="E111" s="95">
        <f>('DOE25'!L279)+('DOE25'!L298)+('DOE25'!L317)</f>
        <v>54297.960000000006</v>
      </c>
      <c r="F111" s="24" t="s">
        <v>288</v>
      </c>
      <c r="G111" s="24" t="s">
        <v>288</v>
      </c>
    </row>
    <row r="112" spans="1:7" x14ac:dyDescent="0.2">
      <c r="A112" t="s">
        <v>201</v>
      </c>
      <c r="B112" s="32" t="s">
        <v>167</v>
      </c>
      <c r="C112" s="95">
        <f>('DOE25'!L201)+('DOE25'!L219)+('DOE25'!L237)</f>
        <v>399982.24</v>
      </c>
      <c r="D112" s="24" t="s">
        <v>288</v>
      </c>
      <c r="E112" s="95">
        <f>+('DOE25'!L280)+('DOE25'!L299)+('DOE25'!L318)</f>
        <v>22432.120000000003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18892568.850000001</v>
      </c>
      <c r="D115" s="86">
        <f>SUM(D109:D114)</f>
        <v>0</v>
      </c>
      <c r="E115" s="86">
        <f>SUM(E109:E114)</f>
        <v>709927.33000000007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1660117.7999999998</v>
      </c>
      <c r="D118" s="24" t="s">
        <v>288</v>
      </c>
      <c r="E118" s="95">
        <f>+('DOE25'!L282)+('DOE25'!L301)+('DOE25'!L320)</f>
        <v>358510.77999999997</v>
      </c>
      <c r="F118" s="24" t="s">
        <v>288</v>
      </c>
      <c r="G118" s="24" t="s">
        <v>288</v>
      </c>
    </row>
    <row r="119" spans="1:7" x14ac:dyDescent="0.2">
      <c r="A119" t="s">
        <v>208</v>
      </c>
      <c r="B119" s="32" t="s">
        <v>209</v>
      </c>
      <c r="C119" s="95">
        <f>('DOE25'!L204)+('DOE25'!L222)+('DOE25'!L240)</f>
        <v>1503163.1800000002</v>
      </c>
      <c r="D119" s="24" t="s">
        <v>288</v>
      </c>
      <c r="E119" s="95">
        <f>+('DOE25'!L283)+('DOE25'!L302)+('DOE25'!L321)</f>
        <v>232576.14</v>
      </c>
      <c r="F119" s="24" t="s">
        <v>288</v>
      </c>
      <c r="G119" s="24" t="s">
        <v>288</v>
      </c>
    </row>
    <row r="120" spans="1:7" x14ac:dyDescent="0.2">
      <c r="A120" t="s">
        <v>210</v>
      </c>
      <c r="B120" s="32" t="s">
        <v>211</v>
      </c>
      <c r="C120" s="95">
        <f>('DOE25'!L205)+('DOE25'!L223)+('DOE25'!L241)</f>
        <v>595413.72</v>
      </c>
      <c r="D120" s="24" t="s">
        <v>288</v>
      </c>
      <c r="E120" s="95">
        <f>+('DOE25'!L284)+('DOE25'!L303)+('DOE25'!L322)</f>
        <v>29454.16</v>
      </c>
      <c r="F120" s="24" t="s">
        <v>288</v>
      </c>
      <c r="G120" s="24" t="s">
        <v>288</v>
      </c>
    </row>
    <row r="121" spans="1:7" x14ac:dyDescent="0.2">
      <c r="A121" t="s">
        <v>212</v>
      </c>
      <c r="B121" s="32" t="s">
        <v>213</v>
      </c>
      <c r="C121" s="95">
        <f>('DOE25'!L206)+('DOE25'!L224)+('DOE25'!L242)</f>
        <v>1733775.33</v>
      </c>
      <c r="D121" s="24" t="s">
        <v>288</v>
      </c>
      <c r="E121" s="95">
        <f>+('DOE25'!L285)+('DOE25'!L304)+('DOE25'!L323)</f>
        <v>2121.92</v>
      </c>
      <c r="F121" s="24" t="s">
        <v>288</v>
      </c>
      <c r="G121" s="24" t="s">
        <v>288</v>
      </c>
    </row>
    <row r="122" spans="1:7" x14ac:dyDescent="0.2">
      <c r="A122" t="s">
        <v>214</v>
      </c>
      <c r="B122" s="32" t="s">
        <v>215</v>
      </c>
      <c r="C122" s="95">
        <f>('DOE25'!L207)+('DOE25'!L225)+('DOE25'!L243)</f>
        <v>409006.65</v>
      </c>
      <c r="D122" s="24" t="s">
        <v>288</v>
      </c>
      <c r="E122" s="95">
        <f>+('DOE25'!L286)+('DOE25'!L305)+('DOE25'!L324)</f>
        <v>3188.04</v>
      </c>
      <c r="F122" s="24" t="s">
        <v>288</v>
      </c>
      <c r="G122" s="24" t="s">
        <v>288</v>
      </c>
    </row>
    <row r="123" spans="1:7" x14ac:dyDescent="0.2">
      <c r="A123" t="s">
        <v>216</v>
      </c>
      <c r="B123" s="32" t="s">
        <v>217</v>
      </c>
      <c r="C123" s="95">
        <f>('DOE25'!L208)+('DOE25'!L226)+('DOE25'!L244)</f>
        <v>2975731.05</v>
      </c>
      <c r="D123" s="24" t="s">
        <v>288</v>
      </c>
      <c r="E123" s="95">
        <f>+('DOE25'!L287)+('DOE25'!L306)+('DOE25'!L325)</f>
        <v>109767.80000000002</v>
      </c>
      <c r="F123" s="24" t="s">
        <v>288</v>
      </c>
      <c r="G123" s="24" t="s">
        <v>288</v>
      </c>
    </row>
    <row r="124" spans="1:7" x14ac:dyDescent="0.2">
      <c r="A124" t="s">
        <v>218</v>
      </c>
      <c r="B124" s="32" t="s">
        <v>219</v>
      </c>
      <c r="C124" s="95">
        <f>('DOE25'!L209)+('DOE25'!L227)+('DOE25'!L245+'DOE25'!L255)</f>
        <v>1298431.69</v>
      </c>
      <c r="D124" s="24" t="s">
        <v>288</v>
      </c>
      <c r="E124" s="95">
        <f>+('DOE25'!L288)+('DOE25'!L307)+('DOE25'!L326)</f>
        <v>31216.28</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848785.44</v>
      </c>
      <c r="E127" s="24" t="s">
        <v>288</v>
      </c>
      <c r="F127" s="24" t="s">
        <v>288</v>
      </c>
      <c r="G127" s="24" t="s">
        <v>288</v>
      </c>
    </row>
    <row r="128" spans="1:7" ht="12.75" thickTop="1" thickBot="1" x14ac:dyDescent="0.25">
      <c r="A128" s="33" t="s">
        <v>226</v>
      </c>
      <c r="C128" s="86">
        <f>SUM(C118:C127)</f>
        <v>10175639.42</v>
      </c>
      <c r="D128" s="86">
        <f>SUM(D118:D127)</f>
        <v>848785.44</v>
      </c>
      <c r="E128" s="86">
        <f>SUM(E118:E127)</f>
        <v>766835.12000000011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839662.82</v>
      </c>
      <c r="D130" s="24" t="s">
        <v>288</v>
      </c>
      <c r="E130" s="129">
        <f>'DOE25'!L337</f>
        <v>0</v>
      </c>
      <c r="F130" s="129">
        <f>SUM('DOE25'!L375:'DOE25'!L381)</f>
        <v>0</v>
      </c>
      <c r="G130" s="24" t="s">
        <v>288</v>
      </c>
    </row>
    <row r="131" spans="1:7" x14ac:dyDescent="0.2">
      <c r="A131" t="s">
        <v>229</v>
      </c>
      <c r="B131" s="32">
        <v>5110</v>
      </c>
      <c r="C131" s="95">
        <f>'DOE25'!L261</f>
        <v>100000</v>
      </c>
      <c r="D131" s="24" t="s">
        <v>288</v>
      </c>
      <c r="E131" s="129">
        <f>'DOE25'!L342</f>
        <v>0</v>
      </c>
      <c r="F131" s="24" t="s">
        <v>288</v>
      </c>
      <c r="G131" s="24" t="s">
        <v>288</v>
      </c>
    </row>
    <row r="132" spans="1:7" x14ac:dyDescent="0.2">
      <c r="A132" t="s">
        <v>230</v>
      </c>
      <c r="B132" s="32">
        <v>5120</v>
      </c>
      <c r="C132" s="95">
        <f>'DOE25'!L262</f>
        <v>15400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514628.29</v>
      </c>
      <c r="D138" s="24" t="s">
        <v>288</v>
      </c>
      <c r="E138" s="24" t="s">
        <v>288</v>
      </c>
      <c r="F138" s="24" t="s">
        <v>288</v>
      </c>
      <c r="G138" s="24" t="s">
        <v>288</v>
      </c>
    </row>
    <row r="139" spans="1:7" x14ac:dyDescent="0.2">
      <c r="A139" t="s">
        <v>239</v>
      </c>
      <c r="B139" s="32">
        <v>5252</v>
      </c>
      <c r="C139" s="95">
        <f>'DOE25'!L402</f>
        <v>13754.32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-28382.609999999986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1455062.8199999998</v>
      </c>
      <c r="D144" s="141">
        <f>SUM(D130:D143)</f>
        <v>0</v>
      </c>
      <c r="E144" s="141">
        <f>SUM(E130:E143)</f>
        <v>0</v>
      </c>
      <c r="F144" s="141">
        <f>SUM(F130:F143)</f>
        <v>0</v>
      </c>
      <c r="G144" s="141">
        <f>SUM(G130:G143)</f>
        <v>0</v>
      </c>
    </row>
    <row r="145" spans="1:9" ht="12.75" thickTop="1" thickBot="1" x14ac:dyDescent="0.25">
      <c r="A145" s="33" t="s">
        <v>244</v>
      </c>
      <c r="C145" s="86">
        <f>(C115+C128+C144)</f>
        <v>30523271.090000004</v>
      </c>
      <c r="D145" s="86">
        <f>(D115+D128+D144)</f>
        <v>848785.44</v>
      </c>
      <c r="E145" s="86">
        <f>(E115+E128+E144)</f>
        <v>1476762.4500000002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5</v>
      </c>
      <c r="D151" s="153">
        <f>'DOE25'!H491</f>
        <v>0</v>
      </c>
      <c r="E151" s="153">
        <f>'DOE25'!I491</f>
        <v>0</v>
      </c>
      <c r="F151" s="153">
        <f>'DOE25'!J491</f>
        <v>0</v>
      </c>
      <c r="G151" s="24" t="s">
        <v>288</v>
      </c>
    </row>
    <row r="152" spans="1:9" x14ac:dyDescent="0.2">
      <c r="A152" s="136" t="s">
        <v>28</v>
      </c>
      <c r="B152" s="152" t="str">
        <f>'DOE25'!F492</f>
        <v>08/05</v>
      </c>
      <c r="C152" s="152" t="str">
        <f>'DOE25'!G492</f>
        <v>10/19</v>
      </c>
      <c r="D152" s="152">
        <f>'DOE25'!H492</f>
        <v>0</v>
      </c>
      <c r="E152" s="152">
        <f>'DOE25'!I492</f>
        <v>0</v>
      </c>
      <c r="F152" s="152">
        <f>'DOE25'!J492</f>
        <v>0</v>
      </c>
      <c r="G152" s="24" t="s">
        <v>288</v>
      </c>
    </row>
    <row r="153" spans="1:9" x14ac:dyDescent="0.2">
      <c r="A153" s="136" t="s">
        <v>29</v>
      </c>
      <c r="B153" s="152" t="str">
        <f>'DOE25'!F493</f>
        <v>08/24</v>
      </c>
      <c r="C153" s="152" t="str">
        <f>'DOE25'!G493</f>
        <v>10/23</v>
      </c>
      <c r="D153" s="152">
        <f>'DOE25'!H493</f>
        <v>0</v>
      </c>
      <c r="E153" s="152">
        <f>'DOE25'!I493</f>
        <v>0</v>
      </c>
      <c r="F153" s="152">
        <f>'DOE25'!J493</f>
        <v>0</v>
      </c>
      <c r="G153" s="24" t="s">
        <v>288</v>
      </c>
    </row>
    <row r="154" spans="1:9" x14ac:dyDescent="0.2">
      <c r="A154" s="136" t="s">
        <v>30</v>
      </c>
      <c r="B154" s="137">
        <f>'DOE25'!F494</f>
        <v>2000000</v>
      </c>
      <c r="C154" s="137">
        <f>'DOE25'!G494</f>
        <v>44686</v>
      </c>
      <c r="D154" s="137">
        <f>'DOE25'!H494</f>
        <v>0</v>
      </c>
      <c r="E154" s="137">
        <f>'DOE25'!I494</f>
        <v>0</v>
      </c>
      <c r="F154" s="137">
        <f>'DOE25'!J494</f>
        <v>0</v>
      </c>
      <c r="G154" s="24" t="s">
        <v>288</v>
      </c>
    </row>
    <row r="155" spans="1:9" x14ac:dyDescent="0.2">
      <c r="A155" s="136" t="s">
        <v>31</v>
      </c>
      <c r="B155" s="137">
        <f>'DOE25'!F495</f>
        <v>3.99</v>
      </c>
      <c r="C155" s="137">
        <f>'DOE25'!G495</f>
        <v>5.25</v>
      </c>
      <c r="D155" s="137">
        <f>'DOE25'!H495</f>
        <v>0</v>
      </c>
      <c r="E155" s="137">
        <f>'DOE25'!I495</f>
        <v>0</v>
      </c>
      <c r="F155" s="137">
        <f>'DOE25'!J495</f>
        <v>0</v>
      </c>
      <c r="G155" s="24" t="s">
        <v>288</v>
      </c>
    </row>
    <row r="156" spans="1:9" x14ac:dyDescent="0.2">
      <c r="A156" s="22" t="s">
        <v>32</v>
      </c>
      <c r="B156" s="137">
        <f>'DOE25'!F496</f>
        <v>500000</v>
      </c>
      <c r="C156" s="137">
        <f>'DOE25'!G496</f>
        <v>35749</v>
      </c>
      <c r="D156" s="137">
        <f>'DOE25'!H496</f>
        <v>0</v>
      </c>
      <c r="E156" s="137">
        <f>'DOE25'!I496</f>
        <v>0</v>
      </c>
      <c r="F156" s="137">
        <f>'DOE25'!J496</f>
        <v>0</v>
      </c>
      <c r="G156" s="138">
        <f>SUM(B156:F156)</f>
        <v>535749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100000</v>
      </c>
      <c r="C158" s="137">
        <f>'DOE25'!G498</f>
        <v>8264</v>
      </c>
      <c r="D158" s="137">
        <f>'DOE25'!H498</f>
        <v>0</v>
      </c>
      <c r="E158" s="137">
        <f>'DOE25'!I498</f>
        <v>0</v>
      </c>
      <c r="F158" s="137">
        <f>'DOE25'!J498</f>
        <v>0</v>
      </c>
      <c r="G158" s="138">
        <f t="shared" si="0"/>
        <v>108264</v>
      </c>
    </row>
    <row r="159" spans="1:9" x14ac:dyDescent="0.2">
      <c r="A159" s="22" t="s">
        <v>35</v>
      </c>
      <c r="B159" s="137">
        <f>'DOE25'!F499</f>
        <v>400000</v>
      </c>
      <c r="C159" s="137">
        <f>'DOE25'!G499</f>
        <v>27485</v>
      </c>
      <c r="D159" s="137">
        <f>'DOE25'!H499</f>
        <v>0</v>
      </c>
      <c r="E159" s="137">
        <f>'DOE25'!I499</f>
        <v>0</v>
      </c>
      <c r="F159" s="137">
        <f>'DOE25'!J499</f>
        <v>0</v>
      </c>
      <c r="G159" s="138">
        <f t="shared" si="0"/>
        <v>427485</v>
      </c>
    </row>
    <row r="160" spans="1:9" x14ac:dyDescent="0.2">
      <c r="A160" s="22" t="s">
        <v>36</v>
      </c>
      <c r="B160" s="137">
        <f>'DOE25'!F500</f>
        <v>34825</v>
      </c>
      <c r="C160" s="137">
        <f>'DOE25'!G500</f>
        <v>2935</v>
      </c>
      <c r="D160" s="137">
        <f>'DOE25'!H500</f>
        <v>0</v>
      </c>
      <c r="E160" s="137">
        <f>'DOE25'!I500</f>
        <v>0</v>
      </c>
      <c r="F160" s="137">
        <f>'DOE25'!J500</f>
        <v>0</v>
      </c>
      <c r="G160" s="138">
        <f t="shared" si="0"/>
        <v>37760</v>
      </c>
    </row>
    <row r="161" spans="1:7" x14ac:dyDescent="0.2">
      <c r="A161" s="22" t="s">
        <v>37</v>
      </c>
      <c r="B161" s="137">
        <f>'DOE25'!F501</f>
        <v>434825</v>
      </c>
      <c r="C161" s="137">
        <f>'DOE25'!G501</f>
        <v>30420</v>
      </c>
      <c r="D161" s="137">
        <f>'DOE25'!H501</f>
        <v>0</v>
      </c>
      <c r="E161" s="137">
        <f>'DOE25'!I501</f>
        <v>0</v>
      </c>
      <c r="F161" s="137">
        <f>'DOE25'!J501</f>
        <v>0</v>
      </c>
      <c r="G161" s="138">
        <f t="shared" si="0"/>
        <v>465245</v>
      </c>
    </row>
    <row r="162" spans="1:7" x14ac:dyDescent="0.2">
      <c r="A162" s="22" t="s">
        <v>38</v>
      </c>
      <c r="B162" s="137">
        <f>'DOE25'!F502</f>
        <v>100000</v>
      </c>
      <c r="C162" s="137">
        <f>'DOE25'!G502</f>
        <v>8697</v>
      </c>
      <c r="D162" s="137">
        <f>'DOE25'!H502</f>
        <v>0</v>
      </c>
      <c r="E162" s="137">
        <f>'DOE25'!I502</f>
        <v>0</v>
      </c>
      <c r="F162" s="137">
        <f>'DOE25'!J502</f>
        <v>0</v>
      </c>
      <c r="G162" s="138">
        <f t="shared" si="0"/>
        <v>108697</v>
      </c>
    </row>
    <row r="163" spans="1:7" x14ac:dyDescent="0.2">
      <c r="A163" s="22" t="s">
        <v>39</v>
      </c>
      <c r="B163" s="137">
        <f>'DOE25'!F503</f>
        <v>15175</v>
      </c>
      <c r="C163" s="137">
        <f>'DOE25'!G503</f>
        <v>1443</v>
      </c>
      <c r="D163" s="137">
        <f>'DOE25'!H503</f>
        <v>0</v>
      </c>
      <c r="E163" s="137">
        <f>'DOE25'!I503</f>
        <v>0</v>
      </c>
      <c r="F163" s="137">
        <f>'DOE25'!J503</f>
        <v>0</v>
      </c>
      <c r="G163" s="138">
        <f t="shared" si="0"/>
        <v>16618</v>
      </c>
    </row>
    <row r="164" spans="1:7" x14ac:dyDescent="0.2">
      <c r="A164" s="22" t="s">
        <v>246</v>
      </c>
      <c r="B164" s="137">
        <f>'DOE25'!F504</f>
        <v>115175</v>
      </c>
      <c r="C164" s="137">
        <f>'DOE25'!G504</f>
        <v>10140</v>
      </c>
      <c r="D164" s="137">
        <f>'DOE25'!H504</f>
        <v>0</v>
      </c>
      <c r="E164" s="137">
        <f>'DOE25'!I504</f>
        <v>0</v>
      </c>
      <c r="F164" s="137">
        <f>'DOE25'!J504</f>
        <v>0</v>
      </c>
      <c r="G164" s="138">
        <f t="shared" si="0"/>
        <v>125315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K12" sqref="K1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Fall Mountain Regional School District</v>
      </c>
    </row>
    <row r="3" spans="1:4" x14ac:dyDescent="0.2">
      <c r="B3" s="188" t="s">
        <v>1666</v>
      </c>
    </row>
    <row r="4" spans="1:4" x14ac:dyDescent="0.2">
      <c r="B4" t="s">
        <v>61</v>
      </c>
      <c r="C4" s="179">
        <f>IF('DOE25'!F666+'DOE25'!F671=0,0,ROUND('DOE25'!F673,0))</f>
        <v>21194</v>
      </c>
    </row>
    <row r="5" spans="1:4" x14ac:dyDescent="0.2">
      <c r="B5" t="s">
        <v>700</v>
      </c>
      <c r="C5" s="179">
        <f>IF('DOE25'!G666+'DOE25'!G671=0,0,ROUND('DOE25'!G673,0))</f>
        <v>0</v>
      </c>
    </row>
    <row r="6" spans="1:4" x14ac:dyDescent="0.2">
      <c r="B6" t="s">
        <v>62</v>
      </c>
      <c r="C6" s="179">
        <f>IF('DOE25'!H666+'DOE25'!H671=0,0,ROUND('DOE25'!H673,0))</f>
        <v>19166</v>
      </c>
    </row>
    <row r="7" spans="1:4" x14ac:dyDescent="0.2">
      <c r="B7" t="s">
        <v>701</v>
      </c>
      <c r="C7" s="179">
        <f>IF('DOE25'!I666+'DOE25'!I671=0,0,ROUND('DOE25'!I673,0))</f>
        <v>20498</v>
      </c>
    </row>
    <row r="9" spans="1:4" x14ac:dyDescent="0.2">
      <c r="A9" s="187" t="s">
        <v>94</v>
      </c>
      <c r="B9" s="188" t="s">
        <v>1671</v>
      </c>
      <c r="C9" s="181" t="s">
        <v>720</v>
      </c>
      <c r="D9" s="181" t="s">
        <v>721</v>
      </c>
    </row>
    <row r="10" spans="1:4" x14ac:dyDescent="0.2">
      <c r="A10">
        <v>1100</v>
      </c>
      <c r="B10" t="s">
        <v>702</v>
      </c>
      <c r="C10" s="179">
        <f>ROUND('DOE25'!L198+'DOE25'!L216+'DOE25'!L234+'DOE25'!L277+'DOE25'!L296+'DOE25'!L315,0)</f>
        <v>11617773</v>
      </c>
      <c r="D10" s="182">
        <f>ROUND((C10/$C$28)*100,1)</f>
        <v>37</v>
      </c>
    </row>
    <row r="11" spans="1:4" x14ac:dyDescent="0.2">
      <c r="A11">
        <v>1200</v>
      </c>
      <c r="B11" t="s">
        <v>703</v>
      </c>
      <c r="C11" s="179">
        <f>ROUND('DOE25'!L199+'DOE25'!L217+'DOE25'!L235+'DOE25'!L278+'DOE25'!L297+'DOE25'!L316,0)</f>
        <v>6824312</v>
      </c>
      <c r="D11" s="182">
        <f>ROUND((C11/$C$28)*100,1)</f>
        <v>21.7</v>
      </c>
    </row>
    <row r="12" spans="1:4" x14ac:dyDescent="0.2">
      <c r="A12">
        <v>1300</v>
      </c>
      <c r="B12" t="s">
        <v>704</v>
      </c>
      <c r="C12" s="179">
        <f>ROUND('DOE25'!L200+'DOE25'!L218+'DOE25'!L236+'DOE25'!L279+'DOE25'!L298+'DOE25'!L317,0)</f>
        <v>737998</v>
      </c>
      <c r="D12" s="182">
        <f>ROUND((C12/$C$28)*100,1)</f>
        <v>2.4</v>
      </c>
    </row>
    <row r="13" spans="1:4" x14ac:dyDescent="0.2">
      <c r="A13">
        <v>1400</v>
      </c>
      <c r="B13" t="s">
        <v>705</v>
      </c>
      <c r="C13" s="179">
        <f>ROUND('DOE25'!L201+'DOE25'!L219+'DOE25'!L237+'DOE25'!L280+'DOE25'!L299+'DOE25'!L318,0)</f>
        <v>422414</v>
      </c>
      <c r="D13" s="182">
        <f>ROUND((C13/$C$28)*100,1)</f>
        <v>1.3</v>
      </c>
    </row>
    <row r="14" spans="1:4" x14ac:dyDescent="0.2">
      <c r="D14" s="182"/>
    </row>
    <row r="15" spans="1:4" x14ac:dyDescent="0.2">
      <c r="A15">
        <v>2100</v>
      </c>
      <c r="B15" t="s">
        <v>706</v>
      </c>
      <c r="C15" s="179">
        <f>ROUND('DOE25'!L203+'DOE25'!L221+'DOE25'!L239+'DOE25'!L282+'DOE25'!L301+'DOE25'!L320,0)</f>
        <v>2018629</v>
      </c>
      <c r="D15" s="182">
        <f t="shared" ref="D15:D27" si="0">ROUND((C15/$C$28)*100,1)</f>
        <v>6.4</v>
      </c>
    </row>
    <row r="16" spans="1:4" x14ac:dyDescent="0.2">
      <c r="A16">
        <v>2200</v>
      </c>
      <c r="B16" t="s">
        <v>707</v>
      </c>
      <c r="C16" s="179">
        <f>ROUND('DOE25'!L204+'DOE25'!L222+'DOE25'!L240+'DOE25'!L283+'DOE25'!L302+'DOE25'!L321,0)</f>
        <v>1735739</v>
      </c>
      <c r="D16" s="182">
        <f t="shared" si="0"/>
        <v>5.5</v>
      </c>
    </row>
    <row r="17" spans="1:4" x14ac:dyDescent="0.2">
      <c r="A17" s="183" t="s">
        <v>723</v>
      </c>
      <c r="B17" t="s">
        <v>738</v>
      </c>
      <c r="C17" s="179">
        <f>ROUND('DOE25'!L205+'DOE25'!L210+'DOE25'!L223+'DOE25'!L228+'DOE25'!L241+'DOE25'!L246+'DOE25'!L284+'DOE25'!L289+'DOE25'!L303+'DOE25'!L308+'DOE25'!L322+'DOE25'!L327,0)</f>
        <v>624868</v>
      </c>
      <c r="D17" s="182">
        <f t="shared" si="0"/>
        <v>2</v>
      </c>
    </row>
    <row r="18" spans="1:4" x14ac:dyDescent="0.2">
      <c r="A18">
        <v>2400</v>
      </c>
      <c r="B18" t="s">
        <v>711</v>
      </c>
      <c r="C18" s="179">
        <f>ROUND('DOE25'!L206+'DOE25'!L224+'DOE25'!L242+'DOE25'!L285+'DOE25'!L304+'DOE25'!L323,0)</f>
        <v>1735897</v>
      </c>
      <c r="D18" s="182">
        <f t="shared" si="0"/>
        <v>5.5</v>
      </c>
    </row>
    <row r="19" spans="1:4" x14ac:dyDescent="0.2">
      <c r="A19">
        <v>2500</v>
      </c>
      <c r="B19" t="s">
        <v>708</v>
      </c>
      <c r="C19" s="179">
        <f>ROUND('DOE25'!L207+'DOE25'!L225+'DOE25'!L243+'DOE25'!L286+'DOE25'!L305+'DOE25'!L324,0)</f>
        <v>412195</v>
      </c>
      <c r="D19" s="182">
        <f t="shared" si="0"/>
        <v>1.3</v>
      </c>
    </row>
    <row r="20" spans="1:4" x14ac:dyDescent="0.2">
      <c r="A20">
        <v>2600</v>
      </c>
      <c r="B20" t="s">
        <v>709</v>
      </c>
      <c r="C20" s="179">
        <f>ROUND('DOE25'!L208+'DOE25'!L226+'DOE25'!L244+'DOE25'!L287+'DOE25'!L306+'DOE25'!L325,0)</f>
        <v>3085499</v>
      </c>
      <c r="D20" s="182">
        <f t="shared" si="0"/>
        <v>9.8000000000000007</v>
      </c>
    </row>
    <row r="21" spans="1:4" x14ac:dyDescent="0.2">
      <c r="A21">
        <v>2700</v>
      </c>
      <c r="B21" t="s">
        <v>710</v>
      </c>
      <c r="C21" s="179">
        <f>ROUND('DOE25'!L209+'DOE25'!L227+'DOE25'!L245+'DOE25'!L288+'DOE25'!L307+'DOE25'!L326,0)</f>
        <v>1329648</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15400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839402.05</v>
      </c>
      <c r="D27" s="182">
        <f t="shared" si="0"/>
        <v>2.7</v>
      </c>
    </row>
    <row r="28" spans="1:4" x14ac:dyDescent="0.2">
      <c r="B28" s="187" t="s">
        <v>719</v>
      </c>
      <c r="C28" s="180">
        <f>SUM(C10:C27)</f>
        <v>31399774.050000001</v>
      </c>
      <c r="D28" s="184">
        <f>ROUND(SUM(D10:D27),0)</f>
        <v>100</v>
      </c>
    </row>
    <row r="29" spans="1:4" x14ac:dyDescent="0.2">
      <c r="A29">
        <v>4000</v>
      </c>
      <c r="B29" t="s">
        <v>724</v>
      </c>
      <c r="C29" s="179">
        <f>ROUND('DOE25'!L256+'DOE25'!L337+'DOE25'!L375+'DOE25'!L376+'DOE25'!L377+'DOE25'!L378+'DOE25'!L379+'DOE25'!L380+'DOE25'!L381,0)</f>
        <v>839663</v>
      </c>
    </row>
    <row r="30" spans="1:4" x14ac:dyDescent="0.2">
      <c r="B30" s="187" t="s">
        <v>725</v>
      </c>
      <c r="C30" s="180">
        <f>SUM(C28:C29)</f>
        <v>32239437.050000001</v>
      </c>
    </row>
    <row r="31" spans="1:4" x14ac:dyDescent="0.2">
      <c r="B31" s="33"/>
      <c r="C31" s="180"/>
    </row>
    <row r="32" spans="1:4" x14ac:dyDescent="0.2">
      <c r="A32">
        <v>5100</v>
      </c>
      <c r="B32" s="33" t="s">
        <v>726</v>
      </c>
      <c r="C32" s="180">
        <f>ROUND('DOE25'!L261+'DOE25'!L342,0)</f>
        <v>100000</v>
      </c>
    </row>
    <row r="34" spans="1:4" x14ac:dyDescent="0.2">
      <c r="A34" s="187" t="s">
        <v>94</v>
      </c>
      <c r="B34" s="188" t="s">
        <v>1667</v>
      </c>
      <c r="C34" s="181" t="s">
        <v>720</v>
      </c>
      <c r="D34" s="181" t="s">
        <v>721</v>
      </c>
    </row>
    <row r="35" spans="1:4" x14ac:dyDescent="0.2">
      <c r="A35">
        <v>1100</v>
      </c>
      <c r="B35" s="185" t="s">
        <v>727</v>
      </c>
      <c r="C35" s="179">
        <f>ROUND('DOE25'!F60+'DOE25'!G60+'DOE25'!H60+'DOE25'!I60+'DOE25'!J60,0)</f>
        <v>17991021</v>
      </c>
      <c r="D35" s="182">
        <f t="shared" ref="D35:D40" si="1">ROUND((C35/$C$41)*100,1)</f>
        <v>53.9</v>
      </c>
    </row>
    <row r="36" spans="1:4" x14ac:dyDescent="0.2">
      <c r="B36" s="185" t="s">
        <v>739</v>
      </c>
      <c r="C36" s="179">
        <f>SUM('DOE25'!F112:J112)-SUM('DOE25'!G97:G110)+('DOE25'!F175+'DOE25'!F176+'DOE25'!I175+'DOE25'!I176)-C35</f>
        <v>871296.0700000003</v>
      </c>
      <c r="D36" s="182">
        <f t="shared" si="1"/>
        <v>2.6</v>
      </c>
    </row>
    <row r="37" spans="1:4" x14ac:dyDescent="0.2">
      <c r="A37" s="183" t="s">
        <v>835</v>
      </c>
      <c r="B37" s="185" t="s">
        <v>728</v>
      </c>
      <c r="C37" s="179">
        <f>ROUND('DOE25'!F117+'DOE25'!F118,0)</f>
        <v>11701271</v>
      </c>
      <c r="D37" s="182">
        <f t="shared" si="1"/>
        <v>35</v>
      </c>
    </row>
    <row r="38" spans="1:4" x14ac:dyDescent="0.2">
      <c r="A38" s="183" t="s">
        <v>734</v>
      </c>
      <c r="B38" s="185" t="s">
        <v>729</v>
      </c>
      <c r="C38" s="179">
        <f>ROUND(SUM('DOE25'!F140:J140)-SUM('DOE25'!F117:F119),0)</f>
        <v>362667</v>
      </c>
      <c r="D38" s="182">
        <f t="shared" si="1"/>
        <v>1.1000000000000001</v>
      </c>
    </row>
    <row r="39" spans="1:4" x14ac:dyDescent="0.2">
      <c r="A39">
        <v>4000</v>
      </c>
      <c r="B39" s="185" t="s">
        <v>730</v>
      </c>
      <c r="C39" s="179">
        <f>ROUND('DOE25'!F170+'DOE25'!G170+'DOE25'!H170+'DOE25'!I170,0)</f>
        <v>2461509</v>
      </c>
      <c r="D39" s="182">
        <f t="shared" si="1"/>
        <v>7.4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33387764.07</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O13" sqref="O13"/>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Fall Mountain Regional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v>19</v>
      </c>
      <c r="B4" s="360" t="s">
        <v>1679</v>
      </c>
      <c r="C4" s="377" t="s">
        <v>1677</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v>19</v>
      </c>
      <c r="B5" s="360" t="s">
        <v>1680</v>
      </c>
      <c r="C5" s="377" t="s">
        <v>1681</v>
      </c>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2021-09-24T15:19:38Z</cp:lastPrinted>
  <dcterms:created xsi:type="dcterms:W3CDTF">1997-12-04T19:04:30Z</dcterms:created>
  <dcterms:modified xsi:type="dcterms:W3CDTF">2021-12-14T17:51:14Z</dcterms:modified>
</cp:coreProperties>
</file>