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4385" windowHeight="4185" tabRatio="769"/>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K416" i="1" l="1"/>
  <c r="G460" i="1" l="1"/>
  <c r="F460" i="1"/>
  <c r="H393" i="1"/>
  <c r="H401" i="1"/>
  <c r="H396" i="1"/>
  <c r="H398" i="1"/>
  <c r="H397" i="1"/>
  <c r="H390" i="1"/>
  <c r="C20" i="12" l="1"/>
  <c r="C19" i="12"/>
  <c r="B11" i="12"/>
  <c r="C10" i="12"/>
  <c r="C11" i="12"/>
  <c r="C39" i="12"/>
  <c r="C37" i="12"/>
  <c r="B19" i="12"/>
  <c r="B37" i="12"/>
  <c r="B10" i="12"/>
  <c r="F110" i="1" l="1"/>
  <c r="G40" i="1" l="1"/>
  <c r="C21" i="12"/>
  <c r="C12" i="12"/>
  <c r="B20" i="12" l="1"/>
  <c r="B21" i="12"/>
  <c r="B12" i="12"/>
  <c r="F28" i="1" l="1"/>
  <c r="G393" i="1" l="1"/>
  <c r="F102" i="1"/>
  <c r="F104" i="1"/>
  <c r="F63" i="1"/>
  <c r="F24" i="1" l="1"/>
  <c r="J180" i="1" l="1"/>
  <c r="G180" i="1"/>
  <c r="I469"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G664" i="1" s="1"/>
  <c r="L612" i="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J605" i="1" s="1"/>
  <c r="J606"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H631" i="1"/>
  <c r="H637" i="1"/>
  <c r="G641" i="1"/>
  <c r="G644" i="1"/>
  <c r="G645" i="1"/>
  <c r="G651" i="1"/>
  <c r="G653" i="1"/>
  <c r="H653" i="1"/>
  <c r="G654" i="1"/>
  <c r="H654" i="1"/>
  <c r="G655" i="1"/>
  <c r="H655" i="1"/>
  <c r="H656" i="1"/>
  <c r="I170" i="1"/>
  <c r="E125" i="2" l="1"/>
  <c r="E121" i="2"/>
  <c r="C110" i="2"/>
  <c r="C125" i="2"/>
  <c r="D6" i="13"/>
  <c r="C6" i="13" s="1"/>
  <c r="C120" i="2"/>
  <c r="H664" i="1"/>
  <c r="J652" i="1"/>
  <c r="C119" i="2"/>
  <c r="D15" i="13"/>
  <c r="C15" i="13" s="1"/>
  <c r="C121" i="2"/>
  <c r="C13" i="10"/>
  <c r="G553" i="1"/>
  <c r="G409" i="1"/>
  <c r="H646" i="1" s="1"/>
  <c r="H409" i="1"/>
  <c r="E131" i="2"/>
  <c r="E119" i="2"/>
  <c r="E123" i="2"/>
  <c r="H663" i="1"/>
  <c r="A40" i="12"/>
  <c r="E110" i="2"/>
  <c r="G339" i="1"/>
  <c r="G353" i="1" s="1"/>
  <c r="E112" i="2"/>
  <c r="K339" i="1"/>
  <c r="K353" i="1" s="1"/>
  <c r="C12" i="10"/>
  <c r="J258" i="1"/>
  <c r="J272" i="1" s="1"/>
  <c r="J656" i="1"/>
  <c r="G646" i="1"/>
  <c r="D50" i="2"/>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H605"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645" i="1" l="1"/>
  <c r="J645" i="1" s="1"/>
  <c r="E128" i="2"/>
  <c r="E115" i="2"/>
  <c r="K605" i="1"/>
  <c r="K606" i="1" s="1"/>
  <c r="G649" i="1" s="1"/>
  <c r="F664" i="1"/>
  <c r="I664" i="1" s="1"/>
  <c r="H606" i="1"/>
  <c r="B17" i="16"/>
  <c r="B19" i="16" s="1"/>
  <c r="G473" i="1"/>
  <c r="J646" i="1"/>
  <c r="H649" i="1"/>
  <c r="L572" i="1"/>
  <c r="C141" i="2"/>
  <c r="C144" i="2" s="1"/>
  <c r="I663" i="1"/>
  <c r="F661" i="1"/>
  <c r="G24" i="14"/>
  <c r="H24" i="14" s="1"/>
  <c r="I24" i="14" s="1"/>
  <c r="H661" i="1"/>
  <c r="H665" i="1" s="1"/>
  <c r="F194" i="1"/>
  <c r="H194" i="1"/>
  <c r="D51" i="2"/>
  <c r="E51" i="2"/>
  <c r="F51" i="2"/>
  <c r="G36" i="14"/>
  <c r="H36" i="14" s="1"/>
  <c r="I36" i="14" s="1"/>
  <c r="E104" i="2"/>
  <c r="C36" i="10"/>
  <c r="L435" i="1"/>
  <c r="I662" i="1"/>
  <c r="G104" i="2"/>
  <c r="L339" i="1"/>
  <c r="L353" i="1" s="1"/>
  <c r="I194" i="1"/>
  <c r="G631" i="1" s="1"/>
  <c r="J631" i="1" s="1"/>
  <c r="G636" i="1"/>
  <c r="G51" i="2"/>
  <c r="D104" i="2"/>
  <c r="L409" i="1"/>
  <c r="J469" i="1" s="1"/>
  <c r="C27" i="10"/>
  <c r="C28" i="10" s="1"/>
  <c r="D23" i="10" s="1"/>
  <c r="G4" i="14"/>
  <c r="H4" i="14" s="1"/>
  <c r="I4" i="14" s="1"/>
  <c r="L546" i="1"/>
  <c r="J626" i="1"/>
  <c r="F104" i="2"/>
  <c r="B14" i="16"/>
  <c r="E33" i="13"/>
  <c r="D35" i="13" s="1"/>
  <c r="J648" i="1"/>
  <c r="L258" i="1"/>
  <c r="L272" i="1" s="1"/>
  <c r="C115" i="2"/>
  <c r="C63" i="2"/>
  <c r="C104" i="2" s="1"/>
  <c r="C39" i="10"/>
  <c r="G33" i="13"/>
  <c r="C128" i="2"/>
  <c r="D31" i="13"/>
  <c r="C31" i="13" s="1"/>
  <c r="I462" i="1"/>
  <c r="H643" i="1" s="1"/>
  <c r="J643" i="1" s="1"/>
  <c r="G661" i="1"/>
  <c r="G665" i="1" s="1"/>
  <c r="G673" i="1" s="1"/>
  <c r="C5" i="10" s="1"/>
  <c r="C25" i="13"/>
  <c r="I33" i="13"/>
  <c r="K553" i="1"/>
  <c r="C51" i="2"/>
  <c r="G632" i="1"/>
  <c r="G194" i="1"/>
  <c r="G627" i="1"/>
  <c r="J52" i="1"/>
  <c r="H622" i="1" s="1"/>
  <c r="J622" i="1" s="1"/>
  <c r="C38" i="10"/>
  <c r="E145" i="2" l="1"/>
  <c r="G630" i="1"/>
  <c r="H469" i="1"/>
  <c r="F665" i="1"/>
  <c r="F668" i="1" s="1"/>
  <c r="J649" i="1"/>
  <c r="G634" i="1"/>
  <c r="H473" i="1"/>
  <c r="B22" i="16"/>
  <c r="G475" i="1"/>
  <c r="H636" i="1"/>
  <c r="J636" i="1" s="1"/>
  <c r="G629" i="1"/>
  <c r="G469" i="1"/>
  <c r="G639" i="1"/>
  <c r="J473" i="1"/>
  <c r="H638" i="1"/>
  <c r="H632" i="1"/>
  <c r="J632" i="1" s="1"/>
  <c r="J471" i="1"/>
  <c r="G628" i="1"/>
  <c r="F469" i="1"/>
  <c r="G633" i="1"/>
  <c r="F473" i="1"/>
  <c r="H668" i="1"/>
  <c r="H673" i="1"/>
  <c r="C6"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F673" i="1" l="1"/>
  <c r="C4" i="10" s="1"/>
  <c r="H471" i="1"/>
  <c r="H630" i="1"/>
  <c r="J630" i="1" s="1"/>
  <c r="H634" i="1"/>
  <c r="J634" i="1" s="1"/>
  <c r="H475" i="1"/>
  <c r="H629" i="1"/>
  <c r="J629" i="1" s="1"/>
  <c r="G471" i="1"/>
  <c r="G477" i="1" s="1"/>
  <c r="J475" i="1"/>
  <c r="H639" i="1"/>
  <c r="J477" i="1"/>
  <c r="J639" i="1"/>
  <c r="J638" i="1"/>
  <c r="H628" i="1"/>
  <c r="J628" i="1" s="1"/>
  <c r="F471" i="1"/>
  <c r="F475" i="1"/>
  <c r="H633" i="1"/>
  <c r="J633" i="1" s="1"/>
  <c r="I668" i="1"/>
  <c r="D28" i="10"/>
  <c r="D37" i="10"/>
  <c r="D36" i="10"/>
  <c r="D35" i="10"/>
  <c r="D40" i="10"/>
  <c r="D39" i="10"/>
  <c r="H477" i="1" l="1"/>
  <c r="H625" i="1" s="1"/>
  <c r="J625" i="1" s="1"/>
  <c r="H627" i="1"/>
  <c r="J627" i="1" s="1"/>
  <c r="H624" i="1"/>
  <c r="J624" i="1" s="1"/>
  <c r="B33" i="16"/>
  <c r="F477" i="1"/>
  <c r="H623" i="1" s="1"/>
  <c r="J623"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<sst xmlns="http://schemas.openxmlformats.org/spreadsheetml/2006/main" count="5575" uniqueCount="1673">
  <si>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</si>
  <si>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</si>
  <si>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</si>
  <si>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</si>
  <si>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</si>
  <si>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</si>
  <si>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</si>
  <si>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</si>
  <si>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</si>
  <si>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</si>
  <si>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</si>
  <si>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</si>
  <si>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</si>
  <si>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</si>
  <si>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</si>
  <si>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</si>
  <si>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</si>
  <si>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</si>
  <si>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</si>
  <si>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</si>
  <si>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</si>
  <si>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</si>
  <si>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</si>
  <si>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</si>
  <si>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</si>
  <si>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</si>
  <si>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</si>
  <si>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</si>
  <si>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</si>
  <si>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</si>
  <si>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</si>
  <si>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</si>
  <si>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</si>
  <si>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</si>
  <si>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</si>
  <si>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</si>
  <si>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</si>
  <si>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</si>
  <si>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</si>
  <si>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</si>
  <si>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</si>
  <si>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</si>
  <si>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</si>
  <si>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</si>
  <si>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</si>
  <si>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</si>
  <si>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</si>
  <si>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</si>
  <si>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</si>
  <si>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</si>
  <si>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</si>
  <si>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</si>
  <si>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</si>
  <si>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</si>
  <si>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</si>
  <si>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</si>
  <si>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</si>
  <si>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</si>
  <si>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</si>
  <si>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</si>
  <si>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</si>
  <si>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</si>
  <si>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</si>
  <si>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</si>
  <si>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</si>
  <si>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</si>
  <si>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</si>
  <si>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</si>
  <si>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</si>
  <si>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</si>
  <si>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</si>
  <si>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</si>
  <si>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</si>
  <si>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</si>
  <si>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</si>
  <si>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</si>
  <si>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</si>
  <si>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</si>
  <si>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</si>
  <si>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</si>
  <si>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</si>
  <si>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</si>
  <si>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</si>
  <si>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</si>
  <si>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</si>
  <si>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</si>
  <si>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</si>
  <si>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</si>
  <si>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</si>
  <si>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</si>
  <si>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</si>
  <si>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</si>
  <si>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</si>
  <si>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</si>
  <si>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</si>
  <si>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</si>
  <si>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</si>
  <si>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</si>
  <si>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</si>
  <si>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</si>
  <si>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</si>
  <si>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</si>
  <si>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</si>
  <si>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</si>
  <si>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</si>
  <si>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</si>
  <si>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</si>
  <si>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</si>
  <si>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</si>
  <si>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</si>
  <si>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</si>
  <si>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</si>
  <si>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</si>
  <si>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</si>
  <si>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</si>
  <si>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</si>
  <si>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</si>
  <si>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</si>
  <si>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</si>
  <si>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</si>
  <si>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</si>
  <si>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</si>
  <si>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</si>
  <si>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</si>
  <si>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</si>
  <si>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</si>
  <si>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</si>
  <si>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</si>
  <si>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</si>
  <si>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</si>
  <si>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</si>
  <si>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</si>
  <si>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</si>
  <si>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</si>
  <si>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</si>
  <si>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</si>
  <si>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</si>
  <si>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</si>
  <si>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</si>
  <si>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</si>
  <si>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</si>
  <si>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</si>
  <si>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</si>
  <si>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</si>
  <si>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</si>
  <si>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</si>
  <si>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</si>
  <si>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</si>
  <si>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</si>
  <si>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</si>
  <si>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</si>
  <si>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</si>
  <si>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</si>
  <si>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</si>
  <si>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</si>
  <si>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</si>
  <si>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</si>
  <si>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</si>
  <si>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</si>
  <si>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</si>
  <si>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</si>
  <si>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</si>
  <si>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</si>
  <si>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</si>
  <si>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</si>
  <si>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</si>
  <si>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</si>
  <si>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</si>
  <si>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</si>
  <si>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</si>
  <si>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</si>
  <si>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</si>
  <si>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</si>
  <si>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</si>
  <si>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</si>
  <si>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</si>
  <si>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</si>
  <si>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</si>
  <si>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</si>
  <si>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</si>
  <si>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</si>
  <si>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</si>
  <si>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</si>
  <si>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</si>
  <si>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</si>
  <si>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</si>
  <si>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</si>
  <si>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</si>
  <si>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</si>
  <si>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</si>
  <si>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</si>
  <si>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</si>
  <si>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</si>
  <si>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</si>
  <si>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</si>
  <si>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</si>
  <si>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</si>
  <si>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</si>
  <si>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</si>
  <si>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</si>
  <si>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</si>
  <si>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</si>
  <si>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</si>
  <si>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</si>
  <si>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</si>
  <si>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</si>
  <si>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</si>
  <si>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</si>
  <si>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</si>
  <si>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</si>
  <si>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</si>
  <si>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</si>
  <si>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</si>
  <si>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</si>
  <si>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</si>
  <si>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</si>
  <si>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</si>
  <si>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</si>
  <si>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</si>
  <si>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</si>
  <si>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</si>
  <si>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</si>
  <si>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</si>
  <si>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</si>
  <si>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</si>
  <si>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</si>
  <si>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</si>
  <si>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</si>
  <si>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</si>
  <si>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</si>
  <si>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</si>
  <si>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</si>
  <si>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</si>
  <si>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</si>
  <si>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</si>
  <si>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</si>
  <si>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</si>
  <si>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</si>
  <si>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</si>
  <si>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</si>
  <si>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</si>
  <si>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</si>
  <si>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</si>
  <si>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</si>
  <si>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</si>
  <si>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</si>
  <si>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</si>
  <si>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</si>
  <si>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</si>
  <si>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</si>
  <si>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</si>
  <si>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</si>
  <si>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</si>
  <si>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</si>
  <si>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</si>
  <si>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</si>
  <si>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</si>
  <si>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</si>
  <si>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</si>
  <si>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</si>
  <si>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</si>
  <si>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</si>
  <si>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</si>
  <si>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</si>
  <si>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</si>
  <si>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</si>
  <si>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</si>
  <si>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</si>
  <si>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</si>
  <si>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</si>
  <si>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</si>
  <si>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</si>
  <si>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</si>
  <si>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</si>
  <si>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</si>
  <si>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</si>
  <si>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</si>
  <si>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</si>
  <si>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</si>
  <si>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</si>
  <si>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</si>
  <si>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</si>
  <si>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</si>
  <si>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</si>
  <si>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</si>
  <si>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</si>
  <si>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</si>
  <si>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</si>
  <si>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</si>
  <si>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</si>
  <si>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</si>
  <si>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</si>
  <si>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</si>
  <si>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</si>
  <si>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</si>
  <si>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</si>
  <si>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</si>
  <si>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</si>
  <si>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</si>
  <si>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</si>
  <si>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</si>
  <si>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</si>
  <si>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</si>
  <si>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</si>
  <si>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</si>
  <si>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</si>
  <si>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</si>
  <si>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</si>
  <si>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</si>
  <si>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</si>
  <si>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</si>
  <si>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</si>
  <si>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</si>
  <si>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</si>
  <si>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</si>
  <si>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</si>
  <si>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</si>
  <si>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</si>
  <si>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</si>
  <si>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</si>
  <si>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</si>
  <si>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</si>
  <si>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</si>
  <si>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</si>
  <si>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</si>
  <si>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</si>
  <si>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</si>
  <si>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</si>
  <si>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</si>
  <si>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</si>
  <si>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</si>
  <si>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</si>
  <si>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</si>
  <si>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</si>
  <si>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</si>
  <si>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</si>
  <si>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</si>
  <si>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</si>
  <si>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</si>
  <si>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</si>
  <si>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</si>
  <si>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</si>
  <si>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</si>
  <si>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</si>
  <si>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</si>
  <si>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</si>
  <si>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</si>
  <si>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</si>
  <si>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</si>
  <si>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</si>
  <si>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</si>
  <si>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</si>
  <si>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</si>
  <si>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</si>
  <si>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</si>
  <si>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</si>
  <si>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</si>
  <si>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</si>
  <si>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</si>
  <si>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</si>
  <si>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</si>
  <si>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</si>
  <si>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</si>
  <si>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</si>
  <si>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</si>
  <si>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</si>
  <si>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</si>
  <si>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</si>
  <si>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</si>
  <si>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</si>
  <si>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</si>
  <si>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</si>
  <si>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</si>
  <si>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</si>
  <si>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</si>
  <si>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</si>
  <si>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</si>
  <si>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</si>
  <si>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</si>
  <si>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</si>
  <si>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</si>
  <si>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</si>
  <si>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</si>
  <si>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</si>
  <si>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</si>
  <si>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</si>
  <si>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</si>
  <si>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</si>
  <si>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</si>
  <si>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</si>
  <si>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</si>
  <si>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</si>
  <si>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</si>
  <si>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</si>
  <si>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</si>
  <si>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</si>
  <si>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</si>
  <si>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</si>
  <si>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</si>
  <si>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</si>
  <si>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</si>
  <si>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</si>
  <si>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</si>
  <si>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</si>
  <si>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</si>
  <si>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</si>
  <si>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</si>
  <si>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</si>
  <si>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</si>
  <si>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</si>
  <si>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</si>
  <si>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</si>
  <si>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</si>
  <si>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</si>
  <si>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</si>
  <si>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</si>
  <si>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</si>
  <si>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</si>
  <si>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</si>
  <si>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</si>
  <si>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</si>
  <si>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</si>
  <si>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</si>
  <si>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</si>
  <si>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</si>
  <si>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</si>
  <si>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</si>
  <si>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</si>
  <si>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</si>
  <si>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</si>
  <si>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</si>
  <si>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</si>
  <si>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</si>
  <si>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</si>
  <si>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</si>
  <si>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</si>
  <si>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</si>
  <si>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</si>
  <si>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</si>
  <si>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</si>
  <si>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</si>
  <si>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</si>
  <si>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</si>
  <si>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</si>
  <si>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</si>
  <si>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</si>
  <si>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</si>
  <si>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</si>
  <si>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</si>
  <si>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</si>
  <si>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</si>
  <si>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</si>
  <si>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</si>
  <si>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</si>
  <si>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</si>
  <si>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</si>
  <si>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</si>
  <si>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</si>
  <si>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</si>
  <si>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</si>
  <si>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</si>
  <si>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</si>
  <si>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</si>
  <si>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</si>
  <si>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</si>
  <si>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</si>
  <si>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</si>
  <si>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</si>
  <si>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</si>
  <si>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</si>
  <si>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</si>
  <si>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</si>
  <si>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</si>
  <si>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</si>
  <si>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</si>
  <si>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</si>
  <si>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</si>
  <si>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</si>
  <si>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</si>
  <si>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</si>
  <si>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</si>
  <si>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</si>
  <si>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</si>
  <si>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</si>
  <si>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</si>
  <si>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</si>
  <si>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</si>
  <si>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</si>
  <si>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</si>
  <si>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</si>
  <si>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</si>
  <si>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</si>
  <si>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</si>
  <si>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</si>
  <si>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</si>
  <si>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</si>
  <si>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</si>
  <si>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</si>
  <si>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</si>
  <si>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</si>
  <si>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</si>
  <si>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</si>
  <si>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</si>
  <si>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</si>
  <si>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</si>
  <si>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</si>
  <si>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</si>
  <si>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</si>
  <si>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</si>
  <si>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</si>
  <si>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</si>
  <si>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</si>
  <si>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</si>
  <si>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</si>
  <si>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</si>
  <si>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</si>
  <si>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</si>
  <si>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</si>
  <si>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</si>
  <si>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</si>
  <si>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</si>
  <si>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</si>
  <si>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</si>
  <si>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</si>
  <si>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</si>
  <si>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</si>
  <si>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</si>
  <si>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</si>
  <si>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</si>
  <si>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</si>
  <si>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</si>
  <si>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</si>
  <si>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</si>
  <si>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</si>
  <si>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</si>
  <si>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</si>
  <si>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</si>
  <si>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</si>
  <si>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</si>
  <si>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</si>
  <si>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</si>
  <si>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</si>
  <si>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</si>
  <si>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</si>
  <si>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</si>
  <si>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</si>
  <si>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</si>
  <si>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</si>
  <si>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</si>
  <si>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</si>
  <si>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</si>
  <si>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</si>
  <si>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</si>
  <si>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</si>
  <si>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</si>
  <si>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</si>
  <si>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</si>
  <si>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</si>
  <si>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</si>
  <si>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</si>
  <si>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</si>
  <si>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</si>
  <si>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</si>
  <si>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</si>
  <si>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</si>
  <si>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</si>
  <si>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</si>
  <si>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</si>
  <si>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</si>
  <si>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</si>
  <si>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</si>
  <si>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</si>
  <si>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</si>
  <si>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</si>
  <si>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</si>
  <si>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</si>
  <si>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</si>
  <si>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</si>
  <si>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</si>
  <si>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</si>
  <si>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</si>
  <si>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</si>
  <si>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</si>
  <si>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</si>
  <si>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</si>
  <si>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</si>
  <si>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</si>
  <si>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</si>
  <si>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</si>
  <si>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</si>
  <si>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</si>
  <si>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</si>
  <si>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</si>
  <si>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</si>
  <si>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</si>
  <si>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</si>
  <si>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</si>
  <si>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</si>
  <si>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</si>
  <si>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</si>
  <si>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</si>
  <si>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</si>
  <si>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</si>
  <si>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</si>
  <si>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</si>
  <si>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</si>
  <si>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</si>
  <si>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</si>
  <si>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</si>
  <si>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</si>
  <si>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</si>
  <si>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</si>
  <si>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</si>
  <si>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</si>
  <si>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</si>
  <si>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</si>
  <si>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</si>
  <si>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</si>
  <si>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</si>
  <si>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</si>
  <si>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</si>
  <si>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</si>
  <si>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</si>
  <si>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</si>
  <si>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</si>
  <si>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</si>
  <si>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</si>
  <si>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</si>
  <si>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</si>
  <si>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</si>
  <si>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</si>
  <si>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</si>
  <si>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</si>
  <si>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</si>
  <si>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</si>
  <si>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</si>
  <si>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</si>
  <si>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</si>
  <si>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</si>
  <si>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</si>
  <si>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</si>
  <si>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</si>
  <si>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</si>
  <si>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</si>
  <si>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</si>
  <si>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</si>
  <si>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</si>
  <si>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</si>
  <si>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</si>
  <si>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</si>
  <si>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</si>
  <si>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</si>
  <si>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</si>
  <si>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</si>
  <si>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</si>
  <si>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</si>
  <si>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</si>
  <si>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</si>
  <si>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</si>
  <si>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</si>
  <si>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</si>
  <si>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</si>
  <si>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</si>
  <si>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</si>
  <si>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</si>
  <si>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</si>
  <si>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</si>
  <si>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</si>
  <si>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</si>
  <si>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</si>
  <si>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</si>
  <si>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</si>
  <si>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</si>
  <si>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</si>
  <si>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</si>
  <si>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</si>
  <si>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</si>
  <si>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</si>
  <si>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</si>
  <si>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</si>
  <si>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</si>
  <si>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</si>
  <si>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</si>
  <si>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</si>
  <si>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</si>
  <si>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</si>
  <si>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</si>
  <si>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</si>
  <si>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</si>
  <si>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</si>
  <si>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</si>
  <si>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</si>
  <si>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</si>
  <si>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</si>
  <si>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</si>
  <si>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</si>
  <si>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</si>
  <si>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</si>
  <si>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</si>
  <si>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</si>
  <si>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</si>
  <si>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</si>
  <si>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</si>
  <si>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</si>
  <si>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</si>
  <si>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</si>
  <si>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</si>
  <si>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</si>
  <si>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</si>
  <si>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</si>
  <si>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</si>
  <si>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</si>
  <si>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</si>
  <si>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</si>
  <si>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</si>
  <si>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</si>
  <si>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</si>
  <si>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</si>
  <si>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</si>
  <si>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</si>
  <si>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</si>
  <si>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</si>
  <si>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</si>
  <si>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</si>
  <si>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</si>
  <si>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</si>
  <si>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</si>
  <si>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</si>
  <si>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</si>
  <si>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</si>
  <si>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</si>
  <si>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</si>
  <si>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</si>
  <si>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</si>
  <si>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</si>
  <si>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</si>
  <si>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</si>
  <si>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</si>
  <si>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</si>
  <si>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</si>
  <si>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</si>
  <si>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</si>
  <si>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</si>
  <si>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</si>
  <si>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</si>
  <si>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</si>
  <si>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</si>
  <si>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</si>
  <si>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</si>
  <si>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</si>
  <si>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</si>
  <si>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</si>
  <si>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</si>
  <si>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</si>
  <si>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</si>
  <si>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</si>
  <si>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</si>
  <si>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</si>
  <si>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</si>
  <si>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</si>
  <si>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</si>
  <si>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</si>
  <si>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</si>
  <si>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</si>
  <si>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</si>
  <si>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</si>
  <si>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</si>
  <si>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</si>
  <si>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</si>
  <si>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</si>
  <si>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</si>
  <si>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</si>
  <si>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</si>
  <si>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</si>
  <si>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</si>
  <si>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</si>
  <si>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</si>
  <si>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</si>
  <si>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</si>
  <si>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</si>
  <si>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</si>
  <si>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</si>
  <si>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</si>
  <si>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</si>
  <si>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</si>
  <si>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</si>
  <si>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</si>
  <si>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</si>
  <si>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</si>
  <si>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</si>
  <si>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</si>
  <si>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</si>
  <si>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</si>
  <si>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</si>
  <si>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</si>
  <si>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</si>
  <si>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</si>
  <si>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</si>
  <si>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</si>
  <si>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</si>
  <si>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</si>
  <si>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</si>
  <si>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</si>
  <si>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</si>
  <si>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</si>
  <si>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</si>
  <si>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</si>
  <si>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</si>
  <si>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</si>
  <si>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</si>
  <si>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</si>
  <si>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</si>
  <si>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</si>
  <si>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</si>
  <si>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</si>
  <si>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</si>
  <si>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</si>
  <si>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</si>
  <si>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</si>
  <si>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</si>
  <si>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</si>
  <si>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</si>
  <si>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</si>
  <si>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</si>
  <si>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</si>
  <si>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</si>
  <si>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</si>
  <si>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</si>
  <si>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</si>
  <si>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</si>
  <si>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</si>
  <si>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</si>
  <si>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</si>
  <si>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</si>
  <si>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</si>
  <si>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</si>
  <si>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</si>
  <si>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</si>
  <si>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</si>
  <si>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</si>
  <si>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</si>
  <si>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</si>
  <si>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</si>
  <si>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</si>
  <si>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</si>
  <si>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</si>
  <si>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</si>
  <si>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</si>
  <si>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</si>
  <si>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</si>
  <si>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</si>
  <si>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</si>
  <si>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</si>
  <si>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</si>
  <si>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</si>
  <si>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</si>
  <si>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</si>
  <si>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</si>
  <si>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</si>
  <si>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</si>
  <si>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</si>
  <si>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</si>
  <si>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</si>
  <si>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</si>
  <si>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</si>
  <si>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</si>
  <si>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</si>
  <si>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</si>
  <si>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</si>
  <si>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</si>
  <si>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</si>
  <si>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</si>
  <si>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</si>
  <si>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</si>
  <si>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</si>
  <si>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</si>
  <si>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</si>
  <si>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</si>
  <si>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</si>
  <si>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</si>
  <si>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</si>
  <si>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</si>
  <si>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</si>
  <si>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</si>
  <si>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</si>
  <si>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</si>
  <si>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</si>
  <si>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</si>
  <si>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</si>
  <si>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</si>
  <si>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</si>
  <si>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</si>
  <si>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</si>
  <si>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</si>
  <si>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</si>
  <si>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</si>
  <si>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</si>
  <si>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</si>
  <si>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</si>
  <si>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</si>
  <si>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</si>
  <si>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</si>
  <si>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</si>
  <si>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</si>
  <si>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</si>
  <si>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</si>
  <si>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</si>
  <si>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</si>
  <si>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</si>
  <si>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</si>
  <si>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</si>
  <si>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</si>
  <si>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</si>
  <si>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</si>
  <si>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</si>
  <si>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</si>
  <si>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</si>
  <si>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</si>
  <si>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</si>
  <si>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</si>
  <si>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</si>
  <si>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</si>
  <si>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</si>
  <si>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</si>
  <si>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</si>
  <si>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</si>
  <si>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</si>
  <si>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</si>
  <si>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</si>
  <si>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</si>
  <si>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</si>
  <si>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</si>
  <si>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</si>
  <si>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</si>
  <si>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</si>
  <si>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</si>
  <si>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</si>
  <si>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</si>
  <si>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</si>
  <si>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</si>
  <si>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</si>
  <si>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</si>
  <si>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</si>
  <si>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</si>
  <si>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</si>
  <si>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</si>
  <si>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</si>
  <si>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</si>
  <si>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</si>
  <si>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</si>
  <si>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</si>
  <si>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</si>
  <si>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</si>
  <si>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</si>
  <si>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</si>
  <si>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</si>
  <si>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</si>
  <si>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</si>
  <si>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</si>
  <si>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</si>
  <si>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</si>
  <si>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</si>
  <si>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</si>
  <si>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</si>
  <si>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</si>
  <si>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</si>
  <si>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</si>
  <si>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</si>
  <si>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</si>
  <si>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</si>
  <si>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</si>
  <si>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</si>
  <si>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</si>
  <si>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</si>
  <si>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</si>
  <si>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</si>
  <si>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</si>
  <si>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</si>
  <si>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</si>
  <si>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</si>
  <si>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</si>
  <si>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</si>
  <si>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</si>
  <si>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</si>
  <si>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</si>
  <si>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</si>
  <si>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</si>
  <si>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</si>
  <si>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</si>
  <si>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</si>
  <si>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</si>
  <si>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</si>
  <si>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</si>
  <si>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</si>
  <si>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</si>
  <si>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</si>
  <si>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</si>
  <si>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</si>
  <si>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</si>
  <si>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</si>
  <si>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</si>
  <si>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</si>
  <si>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</si>
  <si>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</si>
  <si>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</si>
  <si>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</si>
  <si>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</si>
  <si>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</si>
  <si>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</si>
  <si>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</si>
  <si>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</si>
  <si>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</si>
  <si>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</si>
  <si>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</si>
  <si>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</si>
  <si>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</si>
  <si>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</si>
  <si>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</si>
  <si>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</si>
  <si>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</si>
  <si>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</si>
  <si>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</si>
  <si>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</si>
  <si>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</si>
  <si>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</si>
  <si>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</si>
  <si>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</si>
  <si>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</si>
  <si>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</si>
  <si>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</si>
  <si>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</si>
  <si>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</si>
  <si>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</si>
  <si>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</si>
  <si>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</si>
  <si>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</si>
  <si>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</si>
  <si>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</si>
  <si>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</si>
  <si>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</si>
  <si>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</si>
  <si>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</si>
  <si>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</si>
  <si>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</si>
  <si>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</si>
  <si>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</si>
  <si>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</si>
  <si>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</si>
  <si>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</si>
  <si>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</si>
  <si>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</si>
  <si>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</si>
  <si>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</si>
  <si>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</si>
  <si>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</si>
  <si>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</si>
  <si>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</si>
  <si>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</si>
  <si>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</si>
  <si>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</si>
  <si>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</si>
  <si>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</si>
  <si>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</si>
  <si>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</si>
  <si>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</si>
  <si>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</si>
  <si>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</si>
  <si>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</si>
  <si>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</si>
  <si>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</si>
  <si>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</si>
  <si>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</si>
  <si>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</si>
  <si>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</si>
  <si>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</si>
  <si>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</si>
  <si>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</si>
  <si>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</si>
  <si>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</si>
  <si>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</si>
  <si>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</si>
  <si>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</si>
  <si>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</si>
  <si>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</si>
  <si>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</si>
  <si>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</si>
  <si>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</si>
  <si>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</si>
  <si>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</si>
  <si>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</si>
  <si>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</si>
  <si>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</si>
  <si>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</si>
  <si>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</si>
  <si>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</si>
  <si>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</si>
  <si>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</si>
  <si>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</si>
  <si>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</si>
  <si>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</si>
  <si>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</si>
  <si>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</si>
  <si>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</si>
  <si>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</si>
  <si>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</si>
  <si>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</si>
  <si>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</si>
  <si>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</si>
  <si>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</si>
  <si>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</si>
  <si>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</si>
  <si>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</si>
  <si>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</si>
  <si>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</si>
  <si>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</si>
  <si>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</si>
  <si>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</si>
  <si>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</si>
  <si>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</si>
  <si>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</si>
  <si>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</si>
  <si>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</si>
  <si>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</si>
  <si>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</si>
  <si>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</si>
  <si>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</si>
  <si>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</si>
  <si>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</si>
  <si>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</si>
  <si>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</si>
  <si>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</si>
  <si>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</si>
  <si>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</si>
  <si>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</si>
  <si>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</si>
  <si>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</si>
  <si>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</si>
  <si>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</si>
  <si>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</si>
  <si>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</si>
  <si>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</si>
  <si>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</si>
  <si>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</si>
  <si>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</si>
  <si>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</si>
  <si>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</si>
  <si>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</si>
  <si>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</si>
  <si>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</si>
  <si>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</si>
  <si>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</si>
  <si>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</si>
  <si>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</si>
  <si>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</si>
  <si>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</si>
  <si>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</si>
  <si>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</si>
  <si>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</si>
  <si>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</si>
  <si>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</si>
  <si>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</si>
  <si>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</si>
  <si>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</si>
  <si>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</si>
  <si>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</si>
  <si>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</si>
  <si>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</si>
  <si>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</si>
  <si>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</si>
  <si>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</si>
  <si>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</si>
  <si>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</si>
  <si>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</si>
  <si>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</si>
  <si>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</si>
  <si>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</si>
  <si>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</si>
  <si>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</si>
  <si>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</si>
  <si>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</si>
  <si>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</si>
  <si>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</si>
  <si>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</si>
  <si>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</si>
  <si>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</si>
  <si>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</si>
  <si>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</si>
  <si>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</si>
  <si>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</si>
  <si>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</si>
  <si>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</si>
  <si>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</si>
  <si>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</si>
  <si>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</si>
  <si>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</si>
  <si>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</si>
  <si>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</si>
  <si>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</si>
  <si>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</si>
  <si>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</si>
  <si>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</si>
  <si>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</si>
  <si>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</si>
  <si>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</si>
  <si>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</si>
  <si>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</si>
  <si>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</si>
  <si>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</si>
  <si>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</si>
  <si>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</si>
  <si>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</si>
  <si>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</si>
  <si>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</si>
  <si>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</si>
  <si>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</si>
  <si>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</si>
  <si>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</si>
  <si>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</si>
  <si>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</si>
  <si>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</si>
  <si>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</si>
  <si>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</si>
  <si>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</si>
  <si>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</si>
  <si>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</si>
  <si>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</si>
  <si>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</si>
  <si>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</si>
  <si>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</si>
  <si>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</si>
  <si>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</si>
  <si>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</si>
  <si>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</si>
  <si>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</si>
  <si>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</si>
  <si>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</si>
  <si>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</si>
  <si>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</si>
  <si>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</si>
  <si>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</si>
  <si>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</si>
  <si>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</si>
  <si>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</si>
  <si>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</si>
  <si>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</si>
  <si>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</si>
  <si>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</si>
  <si>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</si>
  <si>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</si>
  <si>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</si>
  <si>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</si>
  <si>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</si>
  <si>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</si>
  <si>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</si>
  <si>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</si>
  <si>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</si>
  <si>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</si>
  <si>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</si>
  <si>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</si>
  <si>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</si>
  <si>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</si>
  <si>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</si>
  <si>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</si>
  <si>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</si>
  <si>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</si>
  <si>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</si>
  <si>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</si>
  <si>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</si>
  <si>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</si>
  <si>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</si>
  <si>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</si>
  <si>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</si>
  <si>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</si>
  <si>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</si>
  <si>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</si>
  <si>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</si>
  <si>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</si>
  <si>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</si>
  <si>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</si>
  <si>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</si>
  <si>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</si>
  <si>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</si>
  <si>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</si>
  <si>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</si>
  <si>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</si>
  <si>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</si>
  <si>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</si>
  <si>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</si>
  <si>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</si>
  <si>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</si>
  <si>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</si>
  <si>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</si>
  <si>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</si>
  <si>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</si>
  <si>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</si>
  <si>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</si>
  <si>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</si>
  <si>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</si>
  <si>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</si>
  <si>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</si>
  <si>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</si>
  <si>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</si>
  <si>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</si>
  <si>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</si>
  <si>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</si>
  <si>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</si>
  <si>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</si>
  <si>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</si>
  <si>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</si>
  <si>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</si>
  <si>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</si>
  <si>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</si>
  <si>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</si>
  <si>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</si>
  <si>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</si>
  <si>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</si>
  <si>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</si>
  <si>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</si>
  <si>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</si>
  <si>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</si>
  <si>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</si>
  <si>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</si>
  <si>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</si>
  <si>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</si>
  <si>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</si>
  <si>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</si>
  <si>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</si>
  <si>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</si>
  <si>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</si>
  <si>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</si>
  <si>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</si>
  <si>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</si>
  <si>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</si>
  <si>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</si>
  <si>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</si>
  <si>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</si>
  <si>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</si>
  <si>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</si>
  <si>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</si>
  <si>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</si>
  <si>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</si>
  <si>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</si>
  <si>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</si>
  <si>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</si>
  <si>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</si>
  <si>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</si>
  <si>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</si>
  <si>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</si>
  <si>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</si>
  <si>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</si>
  <si>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</si>
  <si>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</si>
  <si>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</si>
  <si>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</si>
  <si>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</si>
  <si>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</si>
  <si>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</si>
  <si>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</si>
  <si>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</si>
  <si>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</si>
  <si>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</si>
  <si>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</si>
  <si>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</si>
  <si>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</si>
  <si>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</si>
  <si>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</si>
  <si>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</si>
  <si>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</si>
  <si>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</si>
  <si>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</si>
  <si>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</si>
  <si>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</si>
  <si>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</si>
  <si>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</si>
  <si>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</si>
  <si>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</si>
  <si>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</si>
  <si>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</si>
  <si>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</si>
  <si>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</si>
  <si>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</si>
  <si>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</si>
  <si>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</si>
  <si>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</si>
  <si>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</si>
  <si>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</si>
  <si>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</si>
  <si>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</si>
  <si>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</si>
  <si>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</si>
  <si>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</si>
  <si>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</si>
  <si>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</si>
  <si>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</si>
  <si>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</si>
  <si>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</si>
  <si>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</si>
  <si>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</si>
  <si>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</si>
  <si>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</si>
  <si>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</si>
  <si>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</si>
  <si>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</si>
  <si>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</si>
  <si>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</si>
  <si>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</si>
  <si>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</si>
  <si>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</si>
  <si>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</si>
  <si>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</si>
  <si>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</si>
  <si>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</si>
  <si>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</si>
  <si>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</si>
  <si>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</si>
  <si>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</si>
  <si>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</si>
  <si>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</si>
  <si>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</si>
  <si>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</si>
  <si>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</si>
  <si>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</si>
  <si>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</si>
  <si>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</si>
  <si>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</si>
  <si>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</si>
  <si>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</si>
  <si>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</si>
  <si>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</si>
  <si>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</si>
  <si>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</si>
  <si>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</si>
  <si>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</si>
  <si>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</si>
  <si>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</si>
  <si>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</si>
  <si>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</si>
  <si>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</si>
  <si>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</si>
  <si>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</si>
  <si>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</si>
  <si>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</si>
  <si>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</si>
  <si>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</si>
  <si>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</si>
  <si>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</si>
  <si>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</si>
  <si>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</si>
  <si>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</si>
  <si>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</si>
  <si>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</si>
  <si>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</si>
  <si>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</si>
  <si>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</si>
  <si>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</si>
  <si>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</si>
  <si>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</si>
  <si>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</si>
  <si>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</si>
  <si>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</si>
  <si>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</si>
  <si>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</si>
  <si>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</si>
  <si>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</si>
  <si>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</si>
  <si>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</si>
  <si>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</si>
  <si>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</si>
  <si>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</si>
  <si>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</si>
  <si>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</si>
  <si>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</si>
  <si>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</si>
  <si>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</si>
  <si>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</si>
  <si>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</si>
  <si>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</si>
  <si>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</si>
  <si>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</si>
  <si>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</si>
  <si>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</si>
  <si>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</si>
  <si>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</si>
  <si>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</si>
  <si>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</si>
  <si>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</si>
  <si>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</si>
  <si>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</si>
  <si>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</si>
  <si>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</si>
  <si>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</si>
  <si>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</si>
  <si>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</si>
  <si>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</si>
  <si>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</si>
  <si>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</si>
  <si>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</si>
  <si>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</si>
  <si>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</si>
  <si>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</si>
  <si>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</si>
  <si>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</si>
  <si>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</si>
  <si>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</si>
  <si>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</si>
  <si>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</si>
  <si>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</si>
  <si>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</si>
  <si>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</si>
  <si>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</si>
  <si>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</si>
  <si>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</si>
  <si>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</si>
  <si>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</si>
  <si>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</si>
  <si>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</si>
  <si>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</si>
  <si>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</si>
  <si>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</si>
  <si>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</si>
  <si>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</si>
  <si>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</si>
  <si>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</si>
  <si>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</si>
  <si>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</si>
  <si>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</si>
  <si>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</si>
  <si>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</si>
  <si>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</si>
  <si>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</si>
  <si>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</si>
  <si>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</si>
  <si>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</si>
  <si>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</si>
  <si>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</si>
  <si>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</si>
  <si>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</si>
  <si>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</si>
  <si>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</si>
  <si>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</si>
  <si>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</si>
  <si>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</si>
  <si>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</si>
  <si>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</si>
  <si>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</si>
  <si>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</si>
  <si>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</si>
  <si>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</si>
  <si>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</si>
  <si>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</si>
  <si>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</si>
  <si>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</si>
  <si>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</si>
  <si>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</si>
  <si>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</si>
  <si>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</si>
  <si>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</si>
  <si>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</si>
  <si>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</si>
  <si>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</si>
  <si>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</si>
  <si>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</si>
  <si>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</si>
  <si>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</si>
  <si>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</si>
  <si>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</si>
  <si>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</si>
  <si>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</si>
  <si>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</si>
  <si>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</si>
  <si>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</si>
  <si>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</si>
  <si>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</si>
  <si>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</si>
  <si>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</si>
  <si>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</si>
  <si>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</si>
  <si>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</si>
  <si>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</si>
  <si>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</si>
  <si>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</si>
  <si>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</si>
  <si>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</si>
  <si>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</si>
  <si>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</si>
  <si>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</si>
  <si>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</si>
  <si>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</si>
  <si>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</si>
  <si>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</si>
  <si>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</si>
  <si>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</si>
  <si>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</si>
  <si>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</si>
  <si>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</si>
  <si>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</si>
  <si>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</si>
  <si>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</si>
  <si>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</si>
  <si>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</si>
  <si>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</si>
  <si>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</si>
  <si>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</si>
  <si>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</si>
  <si>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</si>
  <si>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</si>
  <si>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</si>
  <si>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</si>
  <si>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</si>
  <si>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</si>
  <si>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</si>
  <si>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</si>
  <si>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</si>
  <si>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</si>
  <si>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</si>
  <si>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</si>
  <si>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</si>
  <si>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</si>
  <si>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</si>
  <si>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</si>
  <si>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</si>
  <si>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</si>
  <si>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</si>
  <si>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</si>
  <si>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</si>
  <si>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</si>
  <si>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</si>
  <si>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</si>
  <si>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</si>
  <si>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</si>
  <si>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</si>
  <si>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</si>
  <si>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</si>
  <si>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</si>
  <si>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</si>
  <si>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</si>
  <si>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</si>
  <si>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</si>
  <si>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</si>
  <si>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</si>
  <si>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</si>
  <si>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</si>
  <si>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</si>
  <si>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</si>
  <si>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</si>
  <si>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</si>
  <si>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</si>
  <si>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</si>
  <si>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</si>
  <si>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</si>
  <si>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</si>
  <si>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</si>
  <si>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</si>
  <si>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</si>
  <si>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</si>
  <si>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</si>
  <si>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</si>
  <si>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</si>
  <si>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</si>
  <si>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</si>
  <si>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</si>
  <si>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</si>
  <si>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</si>
  <si>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</si>
  <si>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</si>
  <si>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</si>
  <si>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</si>
  <si>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</si>
  <si>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</si>
  <si>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</si>
  <si>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</si>
  <si>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</si>
  <si>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FY21 Beginning Fund Equity Balance differences are due to FY20 Audit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</si>
</sst>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0">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0" fillId="41" borderId="0" xfId="0" applyNumberFormat="1" applyFill="1" applyProtection="1">
      <protection locked="0"/>
    </xf>
    <xf numFmtId="43" fontId="2" fillId="41" borderId="0" xfId="43" applyNumberFormat="1" applyFill="1" applyProtection="1">
      <protection locked="0"/>
    </xf>
    <xf numFmtId="43" fontId="2" fillId="41" borderId="0" xfId="43" applyNumberFormat="1" applyFill="1" applyBorder="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4" t="s">
        <v>1047</v>
      </c>
      <c r="B2" s="21">
        <v>175</v>
      </c>
      <c r="C2" s="21">
        <v>175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265033.89</v>
      </c>
      <c r="G9" s="18">
        <v>18381.18</v>
      </c>
      <c r="H9" s="18">
        <v>0</v>
      </c>
      <c r="I9" s="18">
        <v>0</v>
      </c>
      <c r="J9" s="66">
        <f>SUM(I440)</f>
        <v>0</v>
      </c>
      <c r="K9" s="24" t="s">
        <v>288</v>
      </c>
      <c r="L9" s="24" t="s">
        <v>288</v>
      </c>
      <c r="M9" s="8"/>
      <c r="N9" s="262"/>
    </row>
    <row r="10" spans="1:14" s="3" customFormat="1" ht="12.2" customHeight="1" x14ac:dyDescent="0.15">
      <c r="A10" s="1" t="s">
        <v>562</v>
      </c>
      <c r="B10" s="2" t="s">
        <v>289</v>
      </c>
      <c r="C10" s="6">
        <v>2</v>
      </c>
      <c r="D10" s="2" t="s">
        <v>428</v>
      </c>
      <c r="E10" s="6">
        <v>110</v>
      </c>
      <c r="F10" s="18">
        <v>0</v>
      </c>
      <c r="G10" s="18">
        <v>0</v>
      </c>
      <c r="H10" s="18">
        <v>0</v>
      </c>
      <c r="I10" s="18">
        <v>0</v>
      </c>
      <c r="J10" s="66">
        <f>SUM(I441)</f>
        <v>0</v>
      </c>
      <c r="K10" s="24" t="s">
        <v>288</v>
      </c>
      <c r="L10" s="24" t="s">
        <v>288</v>
      </c>
      <c r="M10" s="8"/>
      <c r="N10" s="262"/>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2"/>
    </row>
    <row r="12" spans="1:14" s="3" customFormat="1" ht="12.2" customHeight="1" x14ac:dyDescent="0.15">
      <c r="A12" s="1" t="s">
        <v>564</v>
      </c>
      <c r="B12" s="2" t="s">
        <v>289</v>
      </c>
      <c r="C12" s="6">
        <v>4</v>
      </c>
      <c r="D12" s="2" t="s">
        <v>428</v>
      </c>
      <c r="E12" s="6">
        <v>130</v>
      </c>
      <c r="F12" s="18">
        <v>0</v>
      </c>
      <c r="G12" s="18">
        <v>0</v>
      </c>
      <c r="H12" s="18">
        <v>0</v>
      </c>
      <c r="I12" s="18">
        <v>0</v>
      </c>
      <c r="J12" s="66">
        <f>SUM(I442)</f>
        <v>0</v>
      </c>
      <c r="K12" s="24" t="s">
        <v>288</v>
      </c>
      <c r="L12" s="24" t="s">
        <v>288</v>
      </c>
      <c r="M12" s="8"/>
      <c r="N12" s="262"/>
    </row>
    <row r="13" spans="1:14" s="3" customFormat="1" ht="12.2" customHeight="1" x14ac:dyDescent="0.15">
      <c r="A13" s="1" t="s">
        <v>604</v>
      </c>
      <c r="B13" s="2" t="s">
        <v>289</v>
      </c>
      <c r="C13" s="6">
        <v>5</v>
      </c>
      <c r="D13" s="2" t="s">
        <v>428</v>
      </c>
      <c r="E13" s="6">
        <v>140</v>
      </c>
      <c r="F13" s="18">
        <v>701068.01</v>
      </c>
      <c r="G13" s="18">
        <v>0</v>
      </c>
      <c r="H13" s="18">
        <v>641444.98</v>
      </c>
      <c r="I13" s="18">
        <v>0</v>
      </c>
      <c r="J13" s="66">
        <f>SUM(I443)</f>
        <v>1187347.98</v>
      </c>
      <c r="K13" s="24" t="s">
        <v>288</v>
      </c>
      <c r="L13" s="24" t="s">
        <v>288</v>
      </c>
      <c r="M13" s="8"/>
      <c r="N13" s="262"/>
    </row>
    <row r="14" spans="1:14" s="3" customFormat="1" ht="12.2" customHeight="1" x14ac:dyDescent="0.15">
      <c r="A14" s="1" t="s">
        <v>565</v>
      </c>
      <c r="B14" s="2" t="s">
        <v>289</v>
      </c>
      <c r="C14" s="6">
        <v>6</v>
      </c>
      <c r="D14" s="2" t="s">
        <v>428</v>
      </c>
      <c r="E14" s="6">
        <v>150</v>
      </c>
      <c r="F14" s="18">
        <v>173579.18</v>
      </c>
      <c r="G14" s="18">
        <v>136747.29999999999</v>
      </c>
      <c r="H14" s="18">
        <v>0</v>
      </c>
      <c r="I14" s="18">
        <v>0</v>
      </c>
      <c r="J14" s="66">
        <f>SUM(I444)</f>
        <v>0</v>
      </c>
      <c r="K14" s="24" t="s">
        <v>288</v>
      </c>
      <c r="L14" s="24" t="s">
        <v>288</v>
      </c>
      <c r="M14" s="8"/>
      <c r="N14" s="262"/>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2"/>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2"/>
    </row>
    <row r="17" spans="1:14" s="3" customFormat="1" ht="12.2" customHeight="1" x14ac:dyDescent="0.15">
      <c r="A17" s="1" t="s">
        <v>567</v>
      </c>
      <c r="B17" s="2" t="s">
        <v>289</v>
      </c>
      <c r="C17" s="6">
        <v>9</v>
      </c>
      <c r="D17" s="2" t="s">
        <v>428</v>
      </c>
      <c r="E17" s="6">
        <v>180</v>
      </c>
      <c r="F17" s="18">
        <v>0</v>
      </c>
      <c r="G17" s="18">
        <v>0</v>
      </c>
      <c r="H17" s="18">
        <v>0</v>
      </c>
      <c r="I17" s="18">
        <v>0</v>
      </c>
      <c r="J17" s="66">
        <f>SUM(I445)</f>
        <v>0</v>
      </c>
      <c r="K17" s="24" t="s">
        <v>288</v>
      </c>
      <c r="L17" s="24" t="s">
        <v>288</v>
      </c>
      <c r="M17" s="8"/>
      <c r="N17" s="262"/>
    </row>
    <row r="18" spans="1:14" s="3" customFormat="1" ht="12.2" customHeight="1" thickBot="1" x14ac:dyDescent="0.2">
      <c r="A18" s="1" t="s">
        <v>568</v>
      </c>
      <c r="B18" s="2" t="s">
        <v>289</v>
      </c>
      <c r="C18" s="6">
        <v>10</v>
      </c>
      <c r="D18" s="2" t="s">
        <v>428</v>
      </c>
      <c r="E18" s="6">
        <v>190</v>
      </c>
      <c r="F18" s="18">
        <v>0</v>
      </c>
      <c r="G18" s="18">
        <v>0</v>
      </c>
      <c r="H18" s="18">
        <v>0</v>
      </c>
      <c r="I18" s="18">
        <v>0</v>
      </c>
      <c r="J18" s="66">
        <f>SUM(I446)</f>
        <v>0</v>
      </c>
      <c r="K18" s="24" t="s">
        <v>288</v>
      </c>
      <c r="L18" s="24" t="s">
        <v>288</v>
      </c>
      <c r="M18" s="8"/>
      <c r="N18" s="262"/>
    </row>
    <row r="19" spans="1:14" s="3" customFormat="1" ht="12.2" customHeight="1" thickTop="1" x14ac:dyDescent="0.15">
      <c r="A19" s="38" t="s">
        <v>404</v>
      </c>
      <c r="B19" s="39" t="s">
        <v>289</v>
      </c>
      <c r="C19" s="40">
        <v>11</v>
      </c>
      <c r="D19" s="39" t="s">
        <v>428</v>
      </c>
      <c r="E19" s="39"/>
      <c r="F19" s="41">
        <f>SUM(F9:F18)</f>
        <v>1139681.08</v>
      </c>
      <c r="G19" s="41">
        <f>SUM(G9:G18)</f>
        <v>155128.47999999998</v>
      </c>
      <c r="H19" s="41">
        <f>SUM(H9:H18)</f>
        <v>641444.98</v>
      </c>
      <c r="I19" s="41">
        <f>SUM(I9:I18)</f>
        <v>0</v>
      </c>
      <c r="J19" s="41">
        <f>SUM(J9:J18)</f>
        <v>1187347.98</v>
      </c>
      <c r="K19" s="45" t="s">
        <v>288</v>
      </c>
      <c r="L19" s="45" t="s">
        <v>288</v>
      </c>
      <c r="M19" s="8"/>
      <c r="N19" s="262"/>
    </row>
    <row r="20" spans="1:14" s="3" customFormat="1" ht="12.2" customHeight="1" x14ac:dyDescent="0.15">
      <c r="A20" s="1" t="s">
        <v>454</v>
      </c>
      <c r="C20" s="157"/>
      <c r="F20" s="13"/>
      <c r="G20" s="13"/>
      <c r="H20" s="13"/>
      <c r="I20" s="13"/>
      <c r="J20" s="13"/>
      <c r="K20" s="13"/>
      <c r="L20" s="13"/>
      <c r="M20" s="8"/>
      <c r="N20" s="262"/>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2"/>
    </row>
    <row r="22" spans="1:14" s="3" customFormat="1" ht="12.2" customHeight="1" x14ac:dyDescent="0.15">
      <c r="A22" s="1" t="s">
        <v>569</v>
      </c>
      <c r="B22" s="2" t="s">
        <v>289</v>
      </c>
      <c r="C22" s="6">
        <v>12</v>
      </c>
      <c r="D22" s="2" t="s">
        <v>429</v>
      </c>
      <c r="E22" s="6">
        <v>400</v>
      </c>
      <c r="F22" s="18">
        <v>0</v>
      </c>
      <c r="G22" s="18">
        <v>77480.84</v>
      </c>
      <c r="H22" s="18">
        <v>623587.17000000004</v>
      </c>
      <c r="I22" s="18">
        <v>0</v>
      </c>
      <c r="J22" s="66">
        <f>SUM(I449)</f>
        <v>0</v>
      </c>
      <c r="K22" s="24" t="s">
        <v>288</v>
      </c>
      <c r="L22" s="24" t="s">
        <v>288</v>
      </c>
      <c r="M22" s="8"/>
      <c r="N22" s="262"/>
    </row>
    <row r="23" spans="1:14" s="3" customFormat="1" ht="12.2" customHeight="1" x14ac:dyDescent="0.15">
      <c r="A23" s="1" t="s">
        <v>607</v>
      </c>
      <c r="B23" s="2" t="s">
        <v>289</v>
      </c>
      <c r="C23" s="6">
        <v>13</v>
      </c>
      <c r="D23" s="2" t="s">
        <v>429</v>
      </c>
      <c r="E23" s="6">
        <v>410</v>
      </c>
      <c r="F23" s="18">
        <v>0</v>
      </c>
      <c r="G23" s="18">
        <v>0</v>
      </c>
      <c r="H23" s="18">
        <v>0</v>
      </c>
      <c r="I23" s="18">
        <v>0</v>
      </c>
      <c r="J23" s="66">
        <f>SUM(I450)</f>
        <v>0</v>
      </c>
      <c r="K23" s="24" t="s">
        <v>288</v>
      </c>
      <c r="L23" s="24" t="s">
        <v>288</v>
      </c>
      <c r="M23" s="8"/>
      <c r="N23" s="262"/>
    </row>
    <row r="24" spans="1:14" s="3" customFormat="1" ht="12.2" customHeight="1" x14ac:dyDescent="0.15">
      <c r="A24" s="1" t="s">
        <v>570</v>
      </c>
      <c r="B24" s="2" t="s">
        <v>289</v>
      </c>
      <c r="C24" s="6">
        <v>14</v>
      </c>
      <c r="D24" s="2" t="s">
        <v>429</v>
      </c>
      <c r="E24" s="6">
        <v>420</v>
      </c>
      <c r="F24" s="18">
        <f>331763.32-316.77</f>
        <v>331446.55</v>
      </c>
      <c r="G24" s="18">
        <v>66209.95</v>
      </c>
      <c r="H24" s="18">
        <v>0</v>
      </c>
      <c r="I24" s="18">
        <v>0</v>
      </c>
      <c r="J24" s="66">
        <f>SUM(I451)</f>
        <v>0</v>
      </c>
      <c r="K24" s="24" t="s">
        <v>288</v>
      </c>
      <c r="L24" s="24" t="s">
        <v>288</v>
      </c>
      <c r="M24" s="8"/>
      <c r="N24" s="262"/>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2"/>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2"/>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2"/>
    </row>
    <row r="28" spans="1:14" s="3" customFormat="1" ht="12.2" customHeight="1" x14ac:dyDescent="0.15">
      <c r="A28" s="1" t="s">
        <v>573</v>
      </c>
      <c r="B28" s="2" t="s">
        <v>289</v>
      </c>
      <c r="C28" s="6">
        <v>18</v>
      </c>
      <c r="D28" s="2" t="s">
        <v>429</v>
      </c>
      <c r="E28" s="6">
        <v>460</v>
      </c>
      <c r="F28" s="18">
        <f>-172371.65</f>
        <v>-172371.65</v>
      </c>
      <c r="G28" s="18">
        <v>0</v>
      </c>
      <c r="H28" s="18">
        <v>14988.36</v>
      </c>
      <c r="I28" s="18">
        <v>0</v>
      </c>
      <c r="J28" s="24" t="s">
        <v>288</v>
      </c>
      <c r="K28" s="24" t="s">
        <v>288</v>
      </c>
      <c r="L28" s="24" t="s">
        <v>288</v>
      </c>
      <c r="M28" s="8"/>
      <c r="N28" s="262"/>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2"/>
    </row>
    <row r="30" spans="1:14" s="3" customFormat="1" ht="12.2" customHeight="1" x14ac:dyDescent="0.15">
      <c r="A30" s="1" t="s">
        <v>576</v>
      </c>
      <c r="B30" s="2" t="s">
        <v>289</v>
      </c>
      <c r="C30" s="6">
        <v>20</v>
      </c>
      <c r="D30" s="2" t="s">
        <v>429</v>
      </c>
      <c r="E30" s="6">
        <v>480</v>
      </c>
      <c r="F30" s="18">
        <v>0</v>
      </c>
      <c r="G30" s="18">
        <v>7129.08</v>
      </c>
      <c r="H30" s="18">
        <v>2868.66</v>
      </c>
      <c r="I30" s="18">
        <v>0</v>
      </c>
      <c r="J30" s="24" t="s">
        <v>288</v>
      </c>
      <c r="K30" s="24" t="s">
        <v>288</v>
      </c>
      <c r="L30" s="24" t="s">
        <v>288</v>
      </c>
      <c r="M30" s="8"/>
      <c r="N30" s="262"/>
    </row>
    <row r="31" spans="1:14" s="3" customFormat="1" ht="12.2" customHeight="1" thickBot="1" x14ac:dyDescent="0.2">
      <c r="A31" s="1" t="s">
        <v>585</v>
      </c>
      <c r="B31" s="2" t="s">
        <v>289</v>
      </c>
      <c r="C31" s="6">
        <v>21</v>
      </c>
      <c r="D31" s="2" t="s">
        <v>429</v>
      </c>
      <c r="E31" s="6">
        <v>490</v>
      </c>
      <c r="F31" s="18">
        <v>0</v>
      </c>
      <c r="G31" s="18">
        <v>0</v>
      </c>
      <c r="H31" s="18">
        <v>0</v>
      </c>
      <c r="I31" s="18">
        <v>0</v>
      </c>
      <c r="J31" s="66">
        <f>SUM(I452)</f>
        <v>0</v>
      </c>
      <c r="K31" s="24" t="s">
        <v>288</v>
      </c>
      <c r="L31" s="24" t="s">
        <v>288</v>
      </c>
      <c r="M31" s="8"/>
      <c r="N31" s="262"/>
    </row>
    <row r="32" spans="1:14" s="3" customFormat="1" ht="12.2" customHeight="1" thickTop="1" x14ac:dyDescent="0.15">
      <c r="A32" s="38" t="s">
        <v>406</v>
      </c>
      <c r="B32" s="39" t="s">
        <v>289</v>
      </c>
      <c r="C32" s="40">
        <v>22</v>
      </c>
      <c r="D32" s="39" t="s">
        <v>429</v>
      </c>
      <c r="E32" s="39"/>
      <c r="F32" s="41">
        <f>SUM(F22:F31)</f>
        <v>159074.9</v>
      </c>
      <c r="G32" s="41">
        <f>SUM(G22:G31)</f>
        <v>150819.86999999997</v>
      </c>
      <c r="H32" s="41">
        <f>SUM(H22:H31)</f>
        <v>641444.19000000006</v>
      </c>
      <c r="I32" s="41">
        <f>SUM(I22:I31)</f>
        <v>0</v>
      </c>
      <c r="J32" s="41">
        <f>SUM(J22:J31)</f>
        <v>0</v>
      </c>
      <c r="K32" s="45" t="s">
        <v>288</v>
      </c>
      <c r="L32" s="45" t="s">
        <v>288</v>
      </c>
      <c r="M32" s="8"/>
      <c r="N32" s="262"/>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2"/>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2"/>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2"/>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2"/>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2"/>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2"/>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2"/>
    </row>
    <row r="40" spans="1:14" s="3" customFormat="1" ht="12.2" customHeight="1" x14ac:dyDescent="0.15">
      <c r="A40" s="1" t="s">
        <v>860</v>
      </c>
      <c r="B40" s="6">
        <v>1</v>
      </c>
      <c r="C40" s="6">
        <v>27</v>
      </c>
      <c r="D40" s="2"/>
      <c r="E40" s="6"/>
      <c r="F40" s="24" t="s">
        <v>288</v>
      </c>
      <c r="G40" s="18">
        <f>4307.9+0.71</f>
        <v>4308.6099999999997</v>
      </c>
      <c r="H40" s="24" t="s">
        <v>288</v>
      </c>
      <c r="I40" s="24" t="s">
        <v>288</v>
      </c>
      <c r="J40" s="24" t="s">
        <v>288</v>
      </c>
      <c r="K40" s="24" t="s">
        <v>288</v>
      </c>
      <c r="L40" s="24" t="s">
        <v>288</v>
      </c>
      <c r="M40" s="8"/>
      <c r="N40" s="262"/>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2"/>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2"/>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2"/>
    </row>
    <row r="44" spans="1:14" s="3" customFormat="1" ht="12.2" customHeight="1" x14ac:dyDescent="0.15">
      <c r="A44" s="1" t="s">
        <v>837</v>
      </c>
      <c r="B44" s="6">
        <v>1</v>
      </c>
      <c r="C44" s="6">
        <v>30</v>
      </c>
      <c r="D44" s="2" t="s">
        <v>653</v>
      </c>
      <c r="E44" s="6">
        <v>755</v>
      </c>
      <c r="F44" s="18">
        <v>63318</v>
      </c>
      <c r="G44" s="18">
        <v>0</v>
      </c>
      <c r="H44" s="18">
        <v>0</v>
      </c>
      <c r="I44" s="18">
        <v>0</v>
      </c>
      <c r="J44" s="24" t="s">
        <v>288</v>
      </c>
      <c r="K44" s="24" t="s">
        <v>288</v>
      </c>
      <c r="L44" s="24" t="s">
        <v>288</v>
      </c>
      <c r="M44" s="8"/>
      <c r="N44" s="262"/>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2"/>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2"/>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2"/>
    </row>
    <row r="48" spans="1:14" s="3" customFormat="1" ht="12.2" customHeight="1" x14ac:dyDescent="0.15">
      <c r="A48" s="1" t="s">
        <v>839</v>
      </c>
      <c r="B48" s="2" t="s">
        <v>289</v>
      </c>
      <c r="C48" s="6">
        <v>33</v>
      </c>
      <c r="D48" s="2" t="s">
        <v>653</v>
      </c>
      <c r="E48" s="6">
        <v>760</v>
      </c>
      <c r="F48" s="18">
        <v>0</v>
      </c>
      <c r="G48" s="18">
        <v>0</v>
      </c>
      <c r="H48" s="18">
        <v>0</v>
      </c>
      <c r="I48" s="18">
        <v>0</v>
      </c>
      <c r="J48" s="13">
        <f>SUM(I460)</f>
        <v>1187347.98</v>
      </c>
      <c r="K48" s="24" t="s">
        <v>288</v>
      </c>
      <c r="L48" s="24" t="s">
        <v>288</v>
      </c>
      <c r="M48" s="8"/>
      <c r="N48" s="262"/>
    </row>
    <row r="49" spans="1:14" s="3" customFormat="1" ht="12.2" customHeight="1" x14ac:dyDescent="0.15">
      <c r="A49" s="1" t="s">
        <v>859</v>
      </c>
      <c r="B49" s="2" t="s">
        <v>289</v>
      </c>
      <c r="C49" s="6">
        <v>34</v>
      </c>
      <c r="D49" s="2"/>
      <c r="E49" s="6">
        <v>753</v>
      </c>
      <c r="F49" s="18">
        <v>197538.22</v>
      </c>
      <c r="G49" s="18">
        <v>0</v>
      </c>
      <c r="H49" s="18">
        <v>0.79</v>
      </c>
      <c r="I49" s="18">
        <v>0</v>
      </c>
      <c r="J49" s="13">
        <f>I455</f>
        <v>0</v>
      </c>
      <c r="K49" s="24"/>
      <c r="L49" s="24"/>
      <c r="M49" s="8"/>
      <c r="N49" s="262"/>
    </row>
    <row r="50" spans="1:14" s="3" customFormat="1" ht="12.2" customHeight="1" thickBot="1" x14ac:dyDescent="0.2">
      <c r="A50" s="29" t="s">
        <v>840</v>
      </c>
      <c r="B50" s="2" t="s">
        <v>289</v>
      </c>
      <c r="C50" s="70">
        <v>35</v>
      </c>
      <c r="D50" s="2" t="s">
        <v>653</v>
      </c>
      <c r="E50" s="6">
        <v>770</v>
      </c>
      <c r="F50" s="18">
        <v>719749.96</v>
      </c>
      <c r="G50" s="24" t="s">
        <v>288</v>
      </c>
      <c r="H50" s="24" t="s">
        <v>288</v>
      </c>
      <c r="I50" s="24" t="s">
        <v>288</v>
      </c>
      <c r="J50" s="24" t="s">
        <v>288</v>
      </c>
      <c r="K50" s="24" t="s">
        <v>288</v>
      </c>
      <c r="L50" s="24" t="s">
        <v>288</v>
      </c>
      <c r="M50" s="8"/>
      <c r="N50" s="262"/>
    </row>
    <row r="51" spans="1:14" ht="12.2" customHeight="1" thickTop="1" thickBot="1" x14ac:dyDescent="0.25">
      <c r="A51" s="38" t="s">
        <v>407</v>
      </c>
      <c r="B51" s="39" t="s">
        <v>289</v>
      </c>
      <c r="C51" s="51">
        <v>36</v>
      </c>
      <c r="D51" s="39" t="s">
        <v>653</v>
      </c>
      <c r="E51" s="39"/>
      <c r="F51" s="41">
        <f>SUM(F35:F50)</f>
        <v>980606.17999999993</v>
      </c>
      <c r="G51" s="41">
        <f>SUM(G35:G50)</f>
        <v>4308.6099999999997</v>
      </c>
      <c r="H51" s="41">
        <f>SUM(H35:H50)</f>
        <v>0.79</v>
      </c>
      <c r="I51" s="41">
        <f>SUM(I35:I50)</f>
        <v>0</v>
      </c>
      <c r="J51" s="41">
        <f>SUM(J35:J50)</f>
        <v>1187347.98</v>
      </c>
      <c r="K51" s="45" t="s">
        <v>288</v>
      </c>
      <c r="L51" s="45" t="s">
        <v>288</v>
      </c>
      <c r="N51" s="260"/>
    </row>
    <row r="52" spans="1:14" s="3" customFormat="1" ht="12.2" customHeight="1" thickTop="1" x14ac:dyDescent="0.15">
      <c r="A52" s="38" t="s">
        <v>455</v>
      </c>
      <c r="B52" s="39" t="s">
        <v>289</v>
      </c>
      <c r="C52" s="6">
        <v>37</v>
      </c>
      <c r="D52" s="39" t="s">
        <v>653</v>
      </c>
      <c r="E52" s="39"/>
      <c r="F52" s="41">
        <f>F51+F32</f>
        <v>1139681.0799999998</v>
      </c>
      <c r="G52" s="41">
        <f>G51+G32</f>
        <v>155128.47999999995</v>
      </c>
      <c r="H52" s="41">
        <f>H51+H32</f>
        <v>641444.9800000001</v>
      </c>
      <c r="I52" s="41">
        <f>I51+I32</f>
        <v>0</v>
      </c>
      <c r="J52" s="41">
        <f>J51+J32</f>
        <v>1187347.98</v>
      </c>
      <c r="K52" s="45" t="s">
        <v>288</v>
      </c>
      <c r="L52" s="45" t="s">
        <v>288</v>
      </c>
      <c r="M52" s="8"/>
      <c r="N52" s="262"/>
    </row>
    <row r="53" spans="1:14" s="3" customFormat="1" ht="12.2" customHeight="1" x14ac:dyDescent="0.2">
      <c r="A53"/>
      <c r="B53"/>
      <c r="C53"/>
      <c r="D53"/>
      <c r="E53"/>
      <c r="F53" s="23" t="s">
        <v>273</v>
      </c>
      <c r="G53" s="23" t="s">
        <v>274</v>
      </c>
      <c r="H53" s="23" t="s">
        <v>275</v>
      </c>
      <c r="I53" s="23" t="s">
        <v>276</v>
      </c>
      <c r="J53" s="23" t="s">
        <v>277</v>
      </c>
      <c r="K53" s="20"/>
      <c r="L53" s="20"/>
      <c r="M53" s="8"/>
      <c r="N53" s="262"/>
    </row>
    <row r="54" spans="1:14" s="3" customFormat="1" ht="12.2" customHeight="1" x14ac:dyDescent="0.2">
      <c r="A54" s="1" t="s">
        <v>305</v>
      </c>
      <c r="F54" s="23"/>
      <c r="G54" s="23"/>
      <c r="H54" s="23" t="s">
        <v>282</v>
      </c>
      <c r="I54" s="23"/>
      <c r="J54" s="23"/>
      <c r="K54" s="20"/>
      <c r="L54" s="20"/>
      <c r="M54" s="8"/>
      <c r="N54" s="262"/>
    </row>
    <row r="55" spans="1:14" s="3" customFormat="1" ht="12.2" customHeight="1" x14ac:dyDescent="0.2">
      <c r="A55" s="28" t="s">
        <v>307</v>
      </c>
      <c r="E55" s="6"/>
      <c r="F55" s="16" t="s">
        <v>280</v>
      </c>
      <c r="G55" s="16" t="s">
        <v>281</v>
      </c>
      <c r="H55" s="16" t="s">
        <v>768</v>
      </c>
      <c r="I55" s="16" t="s">
        <v>283</v>
      </c>
      <c r="J55" s="16" t="s">
        <v>284</v>
      </c>
      <c r="K55" s="20"/>
      <c r="L55" s="20"/>
      <c r="M55" s="8"/>
      <c r="N55" s="262"/>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2"/>
    </row>
    <row r="57" spans="1:14" s="3" customFormat="1" ht="12.2" customHeight="1" x14ac:dyDescent="0.15">
      <c r="A57" s="1" t="s">
        <v>511</v>
      </c>
      <c r="B57" s="2" t="s">
        <v>309</v>
      </c>
      <c r="C57" s="6">
        <v>1</v>
      </c>
      <c r="D57" s="2" t="s">
        <v>430</v>
      </c>
      <c r="E57" s="6">
        <v>1111</v>
      </c>
      <c r="F57" s="18">
        <v>6776740</v>
      </c>
      <c r="G57" s="18">
        <v>0</v>
      </c>
      <c r="H57" s="18">
        <v>0</v>
      </c>
      <c r="I57" s="18">
        <v>0</v>
      </c>
      <c r="J57" s="18">
        <v>0</v>
      </c>
      <c r="K57" s="24" t="s">
        <v>288</v>
      </c>
      <c r="L57" s="24" t="s">
        <v>288</v>
      </c>
      <c r="M57" s="8"/>
      <c r="N57" s="262"/>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2"/>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3"/>
    </row>
    <row r="60" spans="1:14" s="27" customFormat="1" ht="12.2" customHeight="1" thickTop="1" x14ac:dyDescent="0.15">
      <c r="A60" s="38" t="s">
        <v>408</v>
      </c>
      <c r="B60" s="39" t="s">
        <v>309</v>
      </c>
      <c r="C60" s="40">
        <v>4</v>
      </c>
      <c r="D60" s="39" t="s">
        <v>430</v>
      </c>
      <c r="E60" s="40">
        <v>1100</v>
      </c>
      <c r="F60" s="41">
        <f>SUM(F57:F59)</f>
        <v>6776740</v>
      </c>
      <c r="G60" s="41">
        <f>SUM(G57:G59)</f>
        <v>0</v>
      </c>
      <c r="H60" s="41">
        <f>SUM(H57:H59)</f>
        <v>0</v>
      </c>
      <c r="I60" s="41">
        <f>SUM(I57:I59)</f>
        <v>0</v>
      </c>
      <c r="J60" s="41">
        <f>SUM(J57:J59)</f>
        <v>0</v>
      </c>
      <c r="K60" s="45" t="s">
        <v>288</v>
      </c>
      <c r="L60" s="45" t="s">
        <v>288</v>
      </c>
      <c r="M60" s="31"/>
      <c r="N60" s="263"/>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2"/>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2"/>
    </row>
    <row r="63" spans="1:14" s="3" customFormat="1" ht="12.2" customHeight="1" x14ac:dyDescent="0.15">
      <c r="A63" s="1" t="s">
        <v>513</v>
      </c>
      <c r="B63" s="2" t="s">
        <v>309</v>
      </c>
      <c r="C63" s="6">
        <v>5</v>
      </c>
      <c r="D63" s="2" t="s">
        <v>430</v>
      </c>
      <c r="E63" s="6">
        <v>1311</v>
      </c>
      <c r="F63" s="18">
        <f>307.54+6080</f>
        <v>6387.54</v>
      </c>
      <c r="G63" s="24" t="s">
        <v>288</v>
      </c>
      <c r="H63" s="18">
        <v>0</v>
      </c>
      <c r="I63" s="24" t="s">
        <v>288</v>
      </c>
      <c r="J63" s="24" t="s">
        <v>288</v>
      </c>
      <c r="K63" s="24" t="s">
        <v>288</v>
      </c>
      <c r="L63" s="24" t="s">
        <v>288</v>
      </c>
      <c r="M63" s="8"/>
      <c r="N63" s="262"/>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2"/>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3"/>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2"/>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2"/>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2"/>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2"/>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2"/>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2"/>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2"/>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2"/>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2"/>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2"/>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2"/>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2"/>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0"/>
    </row>
    <row r="79" spans="1:14" s="3" customFormat="1" ht="12.2" customHeight="1" thickTop="1" x14ac:dyDescent="0.15">
      <c r="A79" s="38" t="s">
        <v>409</v>
      </c>
      <c r="B79" s="39" t="s">
        <v>309</v>
      </c>
      <c r="C79" s="39" t="s">
        <v>314</v>
      </c>
      <c r="D79" s="39" t="s">
        <v>430</v>
      </c>
      <c r="E79" s="40">
        <v>1300</v>
      </c>
      <c r="F79" s="41">
        <f>SUM(F63:F78)</f>
        <v>6387.54</v>
      </c>
      <c r="G79" s="45" t="s">
        <v>288</v>
      </c>
      <c r="H79" s="41">
        <f>SUM(H63:H78)</f>
        <v>0</v>
      </c>
      <c r="I79" s="45" t="s">
        <v>288</v>
      </c>
      <c r="J79" s="45" t="s">
        <v>288</v>
      </c>
      <c r="K79" s="45" t="s">
        <v>288</v>
      </c>
      <c r="L79" s="45" t="s">
        <v>288</v>
      </c>
      <c r="M79" s="8"/>
      <c r="N79" s="262"/>
    </row>
    <row r="80" spans="1:14" s="3" customFormat="1" ht="12.2" customHeight="1" x14ac:dyDescent="0.2">
      <c r="A80"/>
      <c r="B80"/>
      <c r="C80" s="32"/>
      <c r="D80" s="32"/>
      <c r="E80" s="32"/>
      <c r="F80" s="23" t="s">
        <v>273</v>
      </c>
      <c r="G80" s="23" t="s">
        <v>274</v>
      </c>
      <c r="H80" s="23" t="s">
        <v>275</v>
      </c>
      <c r="I80" s="23" t="s">
        <v>276</v>
      </c>
      <c r="J80" s="23" t="s">
        <v>277</v>
      </c>
      <c r="K80" s="20"/>
      <c r="L80" s="20"/>
      <c r="M80" s="8"/>
      <c r="N80" s="262"/>
    </row>
    <row r="81" spans="1:14" s="3" customFormat="1" ht="12.2" customHeight="1" x14ac:dyDescent="0.2">
      <c r="A81" s="168" t="s">
        <v>518</v>
      </c>
      <c r="C81" s="23"/>
      <c r="D81" s="23"/>
      <c r="E81" s="23"/>
      <c r="F81" s="23"/>
      <c r="G81" s="23"/>
      <c r="H81" s="23" t="s">
        <v>282</v>
      </c>
      <c r="I81" s="23"/>
      <c r="J81" s="23"/>
      <c r="K81" s="20"/>
      <c r="L81" s="20"/>
      <c r="M81" s="8"/>
      <c r="N81" s="262"/>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2"/>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2"/>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2"/>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2"/>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2"/>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2"/>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2"/>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2"/>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2"/>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2"/>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2"/>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2"/>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2"/>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2"/>
    </row>
    <row r="96" spans="1:14" s="3" customFormat="1" ht="12.2" customHeight="1" x14ac:dyDescent="0.15">
      <c r="A96" s="1" t="s">
        <v>592</v>
      </c>
      <c r="B96" s="2" t="s">
        <v>315</v>
      </c>
      <c r="C96" s="6">
        <v>11</v>
      </c>
      <c r="D96" s="2" t="s">
        <v>430</v>
      </c>
      <c r="E96" s="6">
        <v>1500</v>
      </c>
      <c r="F96" s="18">
        <v>0</v>
      </c>
      <c r="G96" s="18">
        <v>0</v>
      </c>
      <c r="H96" s="18">
        <v>0</v>
      </c>
      <c r="I96" s="18">
        <v>0</v>
      </c>
      <c r="J96" s="18">
        <v>2003.42</v>
      </c>
      <c r="K96" s="24" t="s">
        <v>288</v>
      </c>
      <c r="L96" s="24" t="s">
        <v>288</v>
      </c>
      <c r="M96" s="8"/>
      <c r="N96" s="262"/>
    </row>
    <row r="97" spans="1:14" s="3" customFormat="1" ht="12.2" customHeight="1" x14ac:dyDescent="0.15">
      <c r="A97" s="1" t="s">
        <v>503</v>
      </c>
      <c r="B97" s="2" t="s">
        <v>315</v>
      </c>
      <c r="C97" s="6">
        <v>12</v>
      </c>
      <c r="D97" s="2" t="s">
        <v>430</v>
      </c>
      <c r="E97" s="6">
        <v>1600</v>
      </c>
      <c r="F97" s="24" t="s">
        <v>288</v>
      </c>
      <c r="G97" s="18">
        <v>16152.07</v>
      </c>
      <c r="H97" s="24" t="s">
        <v>288</v>
      </c>
      <c r="I97" s="24" t="s">
        <v>288</v>
      </c>
      <c r="J97" s="24" t="s">
        <v>288</v>
      </c>
      <c r="K97" s="24" t="s">
        <v>288</v>
      </c>
      <c r="L97" s="24" t="s">
        <v>288</v>
      </c>
      <c r="M97" s="8"/>
      <c r="N97" s="262"/>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2"/>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2"/>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2"/>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2"/>
    </row>
    <row r="102" spans="1:14" s="3" customFormat="1" ht="12.2" customHeight="1" x14ac:dyDescent="0.15">
      <c r="A102" s="1" t="s">
        <v>506</v>
      </c>
      <c r="B102" s="2" t="s">
        <v>315</v>
      </c>
      <c r="C102" s="6">
        <v>16</v>
      </c>
      <c r="D102" s="2" t="s">
        <v>430</v>
      </c>
      <c r="E102" s="6">
        <v>1920</v>
      </c>
      <c r="F102" s="18">
        <f>840</f>
        <v>840</v>
      </c>
      <c r="G102" s="18">
        <v>0</v>
      </c>
      <c r="H102" s="18">
        <v>0</v>
      </c>
      <c r="I102" s="18">
        <v>0</v>
      </c>
      <c r="J102" s="18">
        <v>0</v>
      </c>
      <c r="K102" s="24" t="s">
        <v>288</v>
      </c>
      <c r="L102" s="24" t="s">
        <v>288</v>
      </c>
      <c r="M102" s="8"/>
      <c r="N102" s="262"/>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2"/>
    </row>
    <row r="104" spans="1:14" s="3" customFormat="1" ht="12.2" customHeight="1" x14ac:dyDescent="0.15">
      <c r="A104" s="1" t="s">
        <v>588</v>
      </c>
      <c r="B104" s="2" t="s">
        <v>315</v>
      </c>
      <c r="C104" s="6">
        <v>18</v>
      </c>
      <c r="D104" s="2" t="s">
        <v>430</v>
      </c>
      <c r="E104" s="6">
        <v>1940</v>
      </c>
      <c r="F104" s="18">
        <f>458.4+754.87</f>
        <v>1213.27</v>
      </c>
      <c r="G104" s="24" t="s">
        <v>288</v>
      </c>
      <c r="H104" s="18">
        <v>0</v>
      </c>
      <c r="I104" s="24" t="s">
        <v>288</v>
      </c>
      <c r="J104" s="24" t="s">
        <v>288</v>
      </c>
      <c r="K104" s="24" t="s">
        <v>288</v>
      </c>
      <c r="L104" s="24" t="s">
        <v>288</v>
      </c>
      <c r="M104" s="8"/>
      <c r="N104" s="262"/>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2"/>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2"/>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2"/>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2"/>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2"/>
    </row>
    <row r="110" spans="1:14" s="3" customFormat="1" ht="12.2" customHeight="1" thickBot="1" x14ac:dyDescent="0.2">
      <c r="A110" s="1" t="s">
        <v>510</v>
      </c>
      <c r="B110" s="2" t="s">
        <v>315</v>
      </c>
      <c r="C110" s="6">
        <v>24</v>
      </c>
      <c r="D110" s="2" t="s">
        <v>430</v>
      </c>
      <c r="E110" s="6">
        <v>1990</v>
      </c>
      <c r="F110" s="18">
        <f>834.83+12.99+203.35+659.44+126.79+519.35</f>
        <v>2356.75</v>
      </c>
      <c r="G110" s="18">
        <v>0</v>
      </c>
      <c r="H110" s="18">
        <v>0</v>
      </c>
      <c r="I110" s="18">
        <v>0</v>
      </c>
      <c r="J110" s="18">
        <v>0</v>
      </c>
      <c r="K110" s="24" t="s">
        <v>288</v>
      </c>
      <c r="L110" s="24" t="s">
        <v>288</v>
      </c>
      <c r="M110" s="8"/>
      <c r="N110" s="262"/>
    </row>
    <row r="111" spans="1:14" ht="12.2" customHeight="1" thickTop="1" thickBot="1" x14ac:dyDescent="0.25">
      <c r="A111" s="38" t="s">
        <v>433</v>
      </c>
      <c r="B111" s="39" t="s">
        <v>315</v>
      </c>
      <c r="C111" s="40">
        <v>25</v>
      </c>
      <c r="D111" s="39" t="s">
        <v>430</v>
      </c>
      <c r="E111" s="40"/>
      <c r="F111" s="41">
        <f>SUM(F96:F110)</f>
        <v>4410.0200000000004</v>
      </c>
      <c r="G111" s="41">
        <f>SUM(G96:G110)</f>
        <v>16152.07</v>
      </c>
      <c r="H111" s="41">
        <f>SUM(H96:H110)</f>
        <v>0</v>
      </c>
      <c r="I111" s="41">
        <f>SUM(I96:I110)</f>
        <v>0</v>
      </c>
      <c r="J111" s="41">
        <f>SUM(J96:J110)</f>
        <v>2003.42</v>
      </c>
      <c r="K111" s="45" t="s">
        <v>288</v>
      </c>
      <c r="L111" s="45" t="s">
        <v>288</v>
      </c>
      <c r="N111" s="260"/>
    </row>
    <row r="112" spans="1:14" s="3" customFormat="1" ht="12.2" customHeight="1" thickTop="1" x14ac:dyDescent="0.15">
      <c r="A112" s="38" t="s">
        <v>414</v>
      </c>
      <c r="B112" s="39" t="s">
        <v>315</v>
      </c>
      <c r="C112" s="40">
        <v>26</v>
      </c>
      <c r="D112" s="39" t="s">
        <v>430</v>
      </c>
      <c r="E112" s="40">
        <v>1000</v>
      </c>
      <c r="F112" s="41">
        <f>F60+F79+F94+F111</f>
        <v>6787537.5599999996</v>
      </c>
      <c r="G112" s="41">
        <f>G60+G111</f>
        <v>16152.07</v>
      </c>
      <c r="H112" s="41">
        <f>H60+H79+H94+H111</f>
        <v>0</v>
      </c>
      <c r="I112" s="41">
        <f>I60+I111</f>
        <v>0</v>
      </c>
      <c r="J112" s="41">
        <f>J60+J111</f>
        <v>2003.42</v>
      </c>
      <c r="K112" s="45" t="s">
        <v>288</v>
      </c>
      <c r="L112" s="45" t="s">
        <v>288</v>
      </c>
      <c r="M112" s="8"/>
      <c r="N112" s="262"/>
    </row>
    <row r="113" spans="1:14" s="3" customFormat="1" ht="12.2" customHeight="1" x14ac:dyDescent="0.2">
      <c r="A113"/>
      <c r="B113"/>
      <c r="C113"/>
      <c r="D113"/>
      <c r="E113"/>
      <c r="F113" s="23" t="s">
        <v>273</v>
      </c>
      <c r="G113" s="23" t="s">
        <v>274</v>
      </c>
      <c r="H113" s="23" t="s">
        <v>275</v>
      </c>
      <c r="I113" s="23" t="s">
        <v>276</v>
      </c>
      <c r="J113" s="23" t="s">
        <v>277</v>
      </c>
      <c r="K113" s="20"/>
      <c r="L113" s="20"/>
      <c r="M113" s="8"/>
      <c r="N113" s="262"/>
    </row>
    <row r="114" spans="1:14" s="3" customFormat="1" ht="12.2" customHeight="1" x14ac:dyDescent="0.2">
      <c r="A114" s="29" t="s">
        <v>319</v>
      </c>
      <c r="H114" s="23" t="s">
        <v>282</v>
      </c>
      <c r="K114" s="20"/>
      <c r="L114" s="20"/>
      <c r="M114" s="8"/>
      <c r="N114" s="262"/>
    </row>
    <row r="115" spans="1:14" s="3" customFormat="1" ht="12.2" customHeight="1" x14ac:dyDescent="0.2">
      <c r="A115" s="28" t="s">
        <v>320</v>
      </c>
      <c r="F115" s="16" t="s">
        <v>280</v>
      </c>
      <c r="G115" s="14" t="s">
        <v>281</v>
      </c>
      <c r="H115" s="16" t="s">
        <v>768</v>
      </c>
      <c r="I115" s="16" t="s">
        <v>283</v>
      </c>
      <c r="J115" s="16" t="s">
        <v>284</v>
      </c>
      <c r="K115" s="20"/>
      <c r="L115" s="20"/>
      <c r="M115" s="8"/>
      <c r="N115" s="262"/>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2"/>
    </row>
    <row r="117" spans="1:14" s="3" customFormat="1" ht="12.2" customHeight="1" x14ac:dyDescent="0.15">
      <c r="A117" s="1" t="s">
        <v>833</v>
      </c>
      <c r="B117" s="2" t="s">
        <v>321</v>
      </c>
      <c r="C117" s="6">
        <v>1</v>
      </c>
      <c r="D117" s="2" t="s">
        <v>430</v>
      </c>
      <c r="E117" s="6">
        <v>3111</v>
      </c>
      <c r="F117" s="18">
        <v>6769222.7199999997</v>
      </c>
      <c r="G117" s="24" t="s">
        <v>288</v>
      </c>
      <c r="H117" s="24" t="s">
        <v>288</v>
      </c>
      <c r="I117" s="24" t="s">
        <v>288</v>
      </c>
      <c r="J117" s="24" t="s">
        <v>288</v>
      </c>
      <c r="K117" s="24" t="s">
        <v>288</v>
      </c>
      <c r="L117" s="24" t="s">
        <v>288</v>
      </c>
      <c r="M117" s="8"/>
      <c r="N117" s="262"/>
    </row>
    <row r="118" spans="1:14" s="3" customFormat="1" ht="12.2" customHeight="1" x14ac:dyDescent="0.15">
      <c r="A118" s="1" t="s">
        <v>769</v>
      </c>
      <c r="B118" s="2" t="s">
        <v>321</v>
      </c>
      <c r="C118" s="6">
        <v>2</v>
      </c>
      <c r="D118" s="2" t="s">
        <v>430</v>
      </c>
      <c r="E118" s="6">
        <v>3112</v>
      </c>
      <c r="F118" s="18">
        <v>1021908</v>
      </c>
      <c r="G118" s="24" t="s">
        <v>288</v>
      </c>
      <c r="H118" s="24" t="s">
        <v>288</v>
      </c>
      <c r="I118" s="24" t="s">
        <v>288</v>
      </c>
      <c r="J118" s="24" t="s">
        <v>288</v>
      </c>
      <c r="K118" s="24" t="s">
        <v>288</v>
      </c>
      <c r="L118" s="24" t="s">
        <v>288</v>
      </c>
      <c r="M118" s="8"/>
      <c r="N118" s="262"/>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2"/>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2"/>
    </row>
    <row r="121" spans="1:14" s="3" customFormat="1" ht="12.2" customHeight="1" thickTop="1" x14ac:dyDescent="0.15">
      <c r="A121" s="38" t="s">
        <v>648</v>
      </c>
      <c r="B121" s="39" t="s">
        <v>321</v>
      </c>
      <c r="C121" s="40">
        <v>5</v>
      </c>
      <c r="D121" s="39" t="s">
        <v>430</v>
      </c>
      <c r="E121" s="40">
        <v>3100</v>
      </c>
      <c r="F121" s="41">
        <f>SUM(F117:F120)</f>
        <v>7795121.1399999997</v>
      </c>
      <c r="G121" s="41">
        <f>SUM(G117:G120)</f>
        <v>0</v>
      </c>
      <c r="H121" s="41">
        <f>SUM(H117:H120)</f>
        <v>0</v>
      </c>
      <c r="I121" s="41">
        <f>SUM(I117:I120)</f>
        <v>0</v>
      </c>
      <c r="J121" s="41">
        <f>SUM(J117:J120)</f>
        <v>0</v>
      </c>
      <c r="K121" s="45" t="s">
        <v>288</v>
      </c>
      <c r="L121" s="45" t="s">
        <v>288</v>
      </c>
      <c r="M121" s="8"/>
      <c r="N121" s="262"/>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2"/>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2"/>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2"/>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2"/>
    </row>
    <row r="126" spans="1:14" s="3" customFormat="1" ht="12.2" customHeight="1" x14ac:dyDescent="0.15">
      <c r="A126" s="1" t="s">
        <v>901</v>
      </c>
      <c r="B126" s="2" t="s">
        <v>321</v>
      </c>
      <c r="C126" s="6">
        <v>9</v>
      </c>
      <c r="D126" s="2" t="s">
        <v>430</v>
      </c>
      <c r="E126" s="6">
        <v>3230</v>
      </c>
      <c r="F126" s="18">
        <v>143379.63</v>
      </c>
      <c r="G126" s="24" t="s">
        <v>288</v>
      </c>
      <c r="H126" s="24" t="s">
        <v>288</v>
      </c>
      <c r="I126" s="24" t="s">
        <v>288</v>
      </c>
      <c r="J126" s="24" t="s">
        <v>288</v>
      </c>
      <c r="K126" s="24" t="s">
        <v>288</v>
      </c>
      <c r="L126" s="24" t="s">
        <v>288</v>
      </c>
      <c r="M126" s="8"/>
      <c r="N126" s="262"/>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2"/>
    </row>
    <row r="128" spans="1:14" s="3" customFormat="1" ht="12.2" customHeight="1" x14ac:dyDescent="0.15">
      <c r="A128" s="1" t="s">
        <v>594</v>
      </c>
      <c r="B128" s="2" t="s">
        <v>321</v>
      </c>
      <c r="C128" s="6">
        <v>11</v>
      </c>
      <c r="D128" s="2" t="s">
        <v>430</v>
      </c>
      <c r="E128" s="6">
        <v>3242</v>
      </c>
      <c r="F128" s="18">
        <v>7141.57</v>
      </c>
      <c r="G128" s="24" t="s">
        <v>288</v>
      </c>
      <c r="H128" s="18">
        <v>0</v>
      </c>
      <c r="I128" s="24" t="s">
        <v>288</v>
      </c>
      <c r="J128" s="24" t="s">
        <v>288</v>
      </c>
      <c r="K128" s="24" t="s">
        <v>288</v>
      </c>
      <c r="L128" s="24" t="s">
        <v>288</v>
      </c>
      <c r="M128" s="8"/>
      <c r="N128" s="262"/>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2"/>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2"/>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2"/>
    </row>
    <row r="132" spans="1:14" s="3" customFormat="1" ht="12.2" customHeight="1" x14ac:dyDescent="0.15">
      <c r="A132" s="1" t="s">
        <v>498</v>
      </c>
      <c r="B132" s="2" t="s">
        <v>321</v>
      </c>
      <c r="C132" s="6">
        <v>15</v>
      </c>
      <c r="D132" s="2" t="s">
        <v>430</v>
      </c>
      <c r="E132" s="6">
        <v>3260</v>
      </c>
      <c r="F132" s="24" t="s">
        <v>288</v>
      </c>
      <c r="G132" s="18">
        <v>6452.99</v>
      </c>
      <c r="H132" s="24" t="s">
        <v>288</v>
      </c>
      <c r="I132" s="24" t="s">
        <v>288</v>
      </c>
      <c r="J132" s="24" t="s">
        <v>288</v>
      </c>
      <c r="K132" s="24" t="s">
        <v>288</v>
      </c>
      <c r="L132" s="24" t="s">
        <v>288</v>
      </c>
      <c r="M132" s="8"/>
      <c r="N132" s="262"/>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2"/>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2"/>
    </row>
    <row r="135" spans="1:14" s="3" customFormat="1" ht="12.2" customHeight="1" thickBot="1" x14ac:dyDescent="0.2">
      <c r="A135" s="1" t="s">
        <v>501</v>
      </c>
      <c r="B135" s="2" t="s">
        <v>321</v>
      </c>
      <c r="C135" s="6">
        <v>18</v>
      </c>
      <c r="D135" s="2" t="s">
        <v>430</v>
      </c>
      <c r="E135" s="6">
        <v>3290</v>
      </c>
      <c r="F135" s="18">
        <v>20152.509999999998</v>
      </c>
      <c r="G135" s="18">
        <v>0</v>
      </c>
      <c r="H135" s="18">
        <v>0</v>
      </c>
      <c r="I135" s="18">
        <v>0</v>
      </c>
      <c r="J135" s="18">
        <v>0</v>
      </c>
      <c r="K135" s="24" t="s">
        <v>288</v>
      </c>
      <c r="L135" s="24" t="s">
        <v>288</v>
      </c>
      <c r="M135" s="8"/>
      <c r="N135" s="262"/>
    </row>
    <row r="136" spans="1:14" s="3" customFormat="1" ht="12.2" customHeight="1" thickTop="1" x14ac:dyDescent="0.15">
      <c r="A136" s="38" t="s">
        <v>434</v>
      </c>
      <c r="B136" s="39" t="s">
        <v>321</v>
      </c>
      <c r="C136" s="40">
        <v>19</v>
      </c>
      <c r="D136" s="39" t="s">
        <v>430</v>
      </c>
      <c r="E136" s="40">
        <v>3200</v>
      </c>
      <c r="F136" s="41">
        <f>SUM(F123:F135)</f>
        <v>170673.71000000002</v>
      </c>
      <c r="G136" s="41">
        <f>SUM(G123:G135)</f>
        <v>6452.99</v>
      </c>
      <c r="H136" s="41">
        <f>SUM(H123:H135)</f>
        <v>0</v>
      </c>
      <c r="I136" s="41">
        <f>SUM(I123:I135)</f>
        <v>0</v>
      </c>
      <c r="J136" s="41">
        <f>SUM(J123:J135)</f>
        <v>0</v>
      </c>
      <c r="K136" s="45" t="s">
        <v>288</v>
      </c>
      <c r="L136" s="45" t="s">
        <v>288</v>
      </c>
      <c r="M136" s="8"/>
      <c r="N136" s="262"/>
    </row>
    <row r="137" spans="1:14" s="3" customFormat="1" ht="12.2" customHeight="1" x14ac:dyDescent="0.15">
      <c r="A137" s="3" t="s">
        <v>322</v>
      </c>
      <c r="B137" s="1" t="s">
        <v>321</v>
      </c>
      <c r="C137" s="6">
        <v>20</v>
      </c>
      <c r="D137" s="2" t="s">
        <v>430</v>
      </c>
      <c r="E137" s="6">
        <v>3700</v>
      </c>
      <c r="F137" s="18">
        <v>0</v>
      </c>
      <c r="G137" s="18">
        <v>0</v>
      </c>
      <c r="H137" s="18">
        <v>84294.760000000009</v>
      </c>
      <c r="I137" s="24" t="s">
        <v>288</v>
      </c>
      <c r="J137" s="24" t="s">
        <v>288</v>
      </c>
      <c r="K137" s="24" t="s">
        <v>288</v>
      </c>
      <c r="L137" s="24" t="s">
        <v>288</v>
      </c>
      <c r="M137" s="8"/>
      <c r="N137" s="262"/>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2"/>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2"/>
    </row>
    <row r="140" spans="1:14" s="3" customFormat="1" ht="12.2" customHeight="1" thickTop="1" x14ac:dyDescent="0.15">
      <c r="A140" s="38" t="s">
        <v>415</v>
      </c>
      <c r="B140" s="39" t="s">
        <v>321</v>
      </c>
      <c r="C140" s="40">
        <v>23</v>
      </c>
      <c r="D140" s="39" t="s">
        <v>430</v>
      </c>
      <c r="E140" s="40">
        <v>3000</v>
      </c>
      <c r="F140" s="41">
        <f>F121+SUM(F136:F139)</f>
        <v>7965794.8499999996</v>
      </c>
      <c r="G140" s="41">
        <f>G121+SUM(G136:G137)</f>
        <v>6452.99</v>
      </c>
      <c r="H140" s="41">
        <f>H121+SUM(H136:H139)</f>
        <v>84294.760000000009</v>
      </c>
      <c r="I140" s="41">
        <f>I121+I136</f>
        <v>0</v>
      </c>
      <c r="J140" s="41">
        <f>J121+J136</f>
        <v>0</v>
      </c>
      <c r="K140" s="45" t="s">
        <v>288</v>
      </c>
      <c r="L140" s="45" t="s">
        <v>288</v>
      </c>
      <c r="M140" s="8"/>
      <c r="N140" s="262"/>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2"/>
    </row>
    <row r="142" spans="1:14" s="3" customFormat="1" ht="12.2" customHeight="1" x14ac:dyDescent="0.2">
      <c r="A142" s="29" t="s">
        <v>319</v>
      </c>
      <c r="F142" s="23"/>
      <c r="G142" s="23"/>
      <c r="H142" s="16" t="s">
        <v>282</v>
      </c>
      <c r="I142" s="23"/>
      <c r="J142" s="23"/>
      <c r="K142" s="20"/>
      <c r="L142" s="20"/>
      <c r="M142" s="8"/>
      <c r="N142" s="262"/>
    </row>
    <row r="143" spans="1:14" s="3" customFormat="1" ht="12.2" customHeight="1" x14ac:dyDescent="0.2">
      <c r="A143" s="28" t="s">
        <v>456</v>
      </c>
      <c r="F143" s="16" t="s">
        <v>280</v>
      </c>
      <c r="G143" s="16" t="s">
        <v>281</v>
      </c>
      <c r="H143" s="222" t="s">
        <v>768</v>
      </c>
      <c r="I143" s="16" t="s">
        <v>283</v>
      </c>
      <c r="J143" s="16" t="s">
        <v>284</v>
      </c>
      <c r="K143" s="20"/>
      <c r="L143" s="20"/>
      <c r="M143" s="8"/>
      <c r="N143" s="262"/>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2"/>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2"/>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2"/>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2"/>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2"/>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2"/>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2"/>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2"/>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2"/>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2"/>
    </row>
    <row r="154" spans="1:14" s="3" customFormat="1" ht="12.2" customHeight="1" x14ac:dyDescent="0.15">
      <c r="A154" s="1" t="s">
        <v>646</v>
      </c>
      <c r="B154" s="2" t="s">
        <v>324</v>
      </c>
      <c r="C154" s="6">
        <v>7</v>
      </c>
      <c r="D154" s="2" t="s">
        <v>430</v>
      </c>
      <c r="E154" s="6">
        <v>4520</v>
      </c>
      <c r="F154" s="24" t="s">
        <v>288</v>
      </c>
      <c r="G154" s="24" t="s">
        <v>288</v>
      </c>
      <c r="H154" s="18">
        <v>536480.68999999994</v>
      </c>
      <c r="I154" s="24" t="s">
        <v>288</v>
      </c>
      <c r="J154" s="24" t="s">
        <v>288</v>
      </c>
      <c r="K154" s="24" t="s">
        <v>288</v>
      </c>
      <c r="L154" s="24" t="s">
        <v>288</v>
      </c>
      <c r="M154" s="8"/>
      <c r="N154" s="262"/>
    </row>
    <row r="155" spans="1:14" s="3" customFormat="1" ht="12.2" customHeight="1" x14ac:dyDescent="0.15">
      <c r="A155" s="1" t="s">
        <v>647</v>
      </c>
      <c r="B155" s="2" t="s">
        <v>324</v>
      </c>
      <c r="C155" s="6">
        <v>8</v>
      </c>
      <c r="D155" s="2" t="s">
        <v>430</v>
      </c>
      <c r="E155" s="6">
        <v>4530</v>
      </c>
      <c r="F155" s="24" t="s">
        <v>288</v>
      </c>
      <c r="G155" s="24" t="s">
        <v>288</v>
      </c>
      <c r="H155" s="18">
        <v>61087.89</v>
      </c>
      <c r="I155" s="24" t="s">
        <v>288</v>
      </c>
      <c r="J155" s="24" t="s">
        <v>288</v>
      </c>
      <c r="K155" s="24" t="s">
        <v>288</v>
      </c>
      <c r="L155" s="24" t="s">
        <v>288</v>
      </c>
      <c r="M155" s="8"/>
      <c r="N155" s="262"/>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2"/>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2"/>
    </row>
    <row r="158" spans="1:14" s="3" customFormat="1" ht="12.2" customHeight="1" x14ac:dyDescent="0.15">
      <c r="A158" s="1" t="s">
        <v>490</v>
      </c>
      <c r="B158" s="2" t="s">
        <v>324</v>
      </c>
      <c r="C158" s="6">
        <v>11</v>
      </c>
      <c r="D158" s="2" t="s">
        <v>430</v>
      </c>
      <c r="E158" s="6">
        <v>4560</v>
      </c>
      <c r="F158" s="24" t="s">
        <v>288</v>
      </c>
      <c r="G158" s="18">
        <v>362195.12</v>
      </c>
      <c r="H158" s="24" t="s">
        <v>288</v>
      </c>
      <c r="I158" s="24" t="s">
        <v>288</v>
      </c>
      <c r="J158" s="24" t="s">
        <v>288</v>
      </c>
      <c r="K158" s="24" t="s">
        <v>288</v>
      </c>
      <c r="L158" s="24" t="s">
        <v>288</v>
      </c>
      <c r="M158" s="8"/>
      <c r="N158" s="262"/>
    </row>
    <row r="159" spans="1:14" s="3" customFormat="1" ht="12.2" customHeight="1" x14ac:dyDescent="0.15">
      <c r="A159" s="1" t="s">
        <v>486</v>
      </c>
      <c r="B159" s="2" t="s">
        <v>324</v>
      </c>
      <c r="C159" s="6">
        <v>12</v>
      </c>
      <c r="D159" s="2" t="s">
        <v>430</v>
      </c>
      <c r="E159" s="6">
        <v>4570</v>
      </c>
      <c r="F159" s="24" t="s">
        <v>288</v>
      </c>
      <c r="G159" s="24" t="s">
        <v>288</v>
      </c>
      <c r="H159" s="18">
        <v>196508.49</v>
      </c>
      <c r="I159" s="24" t="s">
        <v>288</v>
      </c>
      <c r="J159" s="24" t="s">
        <v>288</v>
      </c>
      <c r="K159" s="24" t="s">
        <v>288</v>
      </c>
      <c r="L159" s="24" t="s">
        <v>288</v>
      </c>
      <c r="M159" s="8"/>
      <c r="N159" s="262"/>
    </row>
    <row r="160" spans="1:14" s="3" customFormat="1" ht="12.2" customHeight="1" x14ac:dyDescent="0.15">
      <c r="A160" s="1" t="s">
        <v>491</v>
      </c>
      <c r="B160" s="2" t="s">
        <v>324</v>
      </c>
      <c r="C160" s="6">
        <v>13</v>
      </c>
      <c r="D160" s="2" t="s">
        <v>430</v>
      </c>
      <c r="E160" s="6">
        <v>4580</v>
      </c>
      <c r="F160" s="18">
        <v>69311.63</v>
      </c>
      <c r="G160" s="24" t="s">
        <v>288</v>
      </c>
      <c r="H160" s="18">
        <v>0</v>
      </c>
      <c r="I160" s="24" t="s">
        <v>288</v>
      </c>
      <c r="J160" s="24" t="s">
        <v>288</v>
      </c>
      <c r="K160" s="24" t="s">
        <v>288</v>
      </c>
      <c r="L160" s="24" t="s">
        <v>288</v>
      </c>
      <c r="M160" s="8"/>
      <c r="N160" s="262"/>
    </row>
    <row r="161" spans="1:14" s="3" customFormat="1" ht="12.2" customHeight="1" x14ac:dyDescent="0.15">
      <c r="A161" s="1" t="s">
        <v>492</v>
      </c>
      <c r="B161" s="2" t="s">
        <v>324</v>
      </c>
      <c r="C161" s="6">
        <v>14</v>
      </c>
      <c r="D161" s="2" t="s">
        <v>430</v>
      </c>
      <c r="E161" s="6">
        <v>4590</v>
      </c>
      <c r="F161" s="18">
        <v>0</v>
      </c>
      <c r="G161" s="18">
        <v>38636.94</v>
      </c>
      <c r="H161" s="18">
        <v>169099.18</v>
      </c>
      <c r="I161" s="18">
        <v>0</v>
      </c>
      <c r="J161" s="24" t="s">
        <v>288</v>
      </c>
      <c r="K161" s="24" t="s">
        <v>288</v>
      </c>
      <c r="L161" s="24" t="s">
        <v>288</v>
      </c>
      <c r="M161" s="8"/>
      <c r="N161" s="262"/>
    </row>
    <row r="162" spans="1:14" s="3" customFormat="1" ht="12.2" customHeight="1" thickBot="1" x14ac:dyDescent="0.2">
      <c r="A162" s="325" t="s">
        <v>1604</v>
      </c>
      <c r="B162" s="323">
        <v>5</v>
      </c>
      <c r="C162" s="323">
        <v>15</v>
      </c>
      <c r="D162" s="324"/>
      <c r="E162" s="323">
        <v>4595</v>
      </c>
      <c r="F162" s="18">
        <v>0</v>
      </c>
      <c r="G162" s="24" t="s">
        <v>288</v>
      </c>
      <c r="H162" s="18">
        <v>298731.08999999997</v>
      </c>
      <c r="I162" s="24" t="s">
        <v>288</v>
      </c>
      <c r="J162" s="24"/>
      <c r="K162" s="24"/>
      <c r="L162" s="24"/>
      <c r="M162" s="8"/>
      <c r="N162" s="262"/>
    </row>
    <row r="163" spans="1:14" s="3" customFormat="1" ht="12.2" customHeight="1" thickTop="1" x14ac:dyDescent="0.15">
      <c r="A163" s="38" t="s">
        <v>436</v>
      </c>
      <c r="B163" s="39" t="s">
        <v>324</v>
      </c>
      <c r="C163" s="40">
        <v>16</v>
      </c>
      <c r="D163" s="39" t="s">
        <v>430</v>
      </c>
      <c r="E163" s="40"/>
      <c r="F163" s="41">
        <f>SUM(F150:F162)</f>
        <v>69311.63</v>
      </c>
      <c r="G163" s="41">
        <f>SUM(G150:G162)</f>
        <v>400832.06</v>
      </c>
      <c r="H163" s="41">
        <f>SUM(H150:H162)</f>
        <v>1261907.3399999999</v>
      </c>
      <c r="I163" s="41">
        <f>SUM(I150:I162)</f>
        <v>0</v>
      </c>
      <c r="J163" s="45" t="s">
        <v>288</v>
      </c>
      <c r="K163" s="45" t="s">
        <v>288</v>
      </c>
      <c r="L163" s="45" t="s">
        <v>288</v>
      </c>
      <c r="M163" s="8"/>
      <c r="N163" s="262"/>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2"/>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2"/>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2"/>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2"/>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2"/>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2"/>
    </row>
    <row r="170" spans="1:14" s="3" customFormat="1" ht="12.2" customHeight="1" thickTop="1" x14ac:dyDescent="0.15">
      <c r="A170" s="38" t="s">
        <v>458</v>
      </c>
      <c r="B170" s="39" t="s">
        <v>324</v>
      </c>
      <c r="C170" s="40">
        <v>21</v>
      </c>
      <c r="D170" s="39" t="s">
        <v>430</v>
      </c>
      <c r="E170" s="44">
        <v>4000</v>
      </c>
      <c r="F170" s="41">
        <f>F147+F163+SUM(F164:F169)</f>
        <v>69311.63</v>
      </c>
      <c r="G170" s="41">
        <f>G147+G163+SUM(G164:G169)</f>
        <v>400832.06</v>
      </c>
      <c r="H170" s="41">
        <f>H147+H163+SUM(H164:H169)</f>
        <v>1261907.3399999999</v>
      </c>
      <c r="I170" s="41">
        <f>I147+I163+SUM(I164:I169)</f>
        <v>0</v>
      </c>
      <c r="J170" s="45" t="s">
        <v>288</v>
      </c>
      <c r="K170" s="45" t="s">
        <v>288</v>
      </c>
      <c r="L170" s="45" t="s">
        <v>288</v>
      </c>
      <c r="M170" s="8"/>
      <c r="N170" s="262"/>
    </row>
    <row r="171" spans="1:14" s="3" customFormat="1" ht="12.2" customHeight="1" x14ac:dyDescent="0.2">
      <c r="A171" s="69"/>
      <c r="B171" s="36"/>
      <c r="C171" s="74"/>
      <c r="D171" s="74"/>
      <c r="E171" s="74"/>
      <c r="F171" s="23" t="s">
        <v>273</v>
      </c>
      <c r="G171" s="23" t="s">
        <v>274</v>
      </c>
      <c r="H171" s="23" t="s">
        <v>275</v>
      </c>
      <c r="I171" s="23" t="s">
        <v>276</v>
      </c>
      <c r="J171" s="23" t="s">
        <v>277</v>
      </c>
      <c r="K171" s="20"/>
      <c r="L171" s="20"/>
      <c r="M171" s="8"/>
      <c r="N171" s="262"/>
    </row>
    <row r="172" spans="1:14" s="3" customFormat="1" ht="12.2" customHeight="1" x14ac:dyDescent="0.2">
      <c r="A172" s="29" t="s">
        <v>680</v>
      </c>
      <c r="F172" s="23"/>
      <c r="G172" s="23"/>
      <c r="H172" s="16" t="s">
        <v>282</v>
      </c>
      <c r="I172" s="23"/>
      <c r="J172" s="23"/>
      <c r="K172" s="20"/>
      <c r="L172" s="20"/>
      <c r="M172" s="8"/>
      <c r="N172" s="262"/>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2"/>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2"/>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2"/>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2"/>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2"/>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2"/>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2"/>
    </row>
    <row r="180" spans="1:14" s="3" customFormat="1" ht="12.2" customHeight="1" x14ac:dyDescent="0.15">
      <c r="A180" s="1" t="s">
        <v>524</v>
      </c>
      <c r="B180" s="2" t="s">
        <v>330</v>
      </c>
      <c r="C180" s="6">
        <v>6</v>
      </c>
      <c r="D180" s="2" t="s">
        <v>430</v>
      </c>
      <c r="E180" s="6">
        <v>5210</v>
      </c>
      <c r="F180" s="24" t="s">
        <v>288</v>
      </c>
      <c r="G180" s="18">
        <f>K264</f>
        <v>30000</v>
      </c>
      <c r="H180" s="18">
        <v>0</v>
      </c>
      <c r="I180" s="18">
        <v>0</v>
      </c>
      <c r="J180" s="18">
        <f>K267</f>
        <v>185000</v>
      </c>
      <c r="K180" s="24" t="s">
        <v>288</v>
      </c>
      <c r="L180" s="24" t="s">
        <v>288</v>
      </c>
      <c r="M180" s="8"/>
      <c r="N180" s="262"/>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2"/>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2"/>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2"/>
    </row>
    <row r="184" spans="1:14" s="3" customFormat="1" ht="12.2" customHeight="1" thickTop="1" x14ac:dyDescent="0.15">
      <c r="A184" s="38" t="s">
        <v>416</v>
      </c>
      <c r="B184" s="39" t="s">
        <v>330</v>
      </c>
      <c r="C184" s="44">
        <v>10</v>
      </c>
      <c r="D184" s="39" t="s">
        <v>430</v>
      </c>
      <c r="E184" s="44">
        <v>5200</v>
      </c>
      <c r="F184" s="41">
        <f>SUM(F180:F183)</f>
        <v>0</v>
      </c>
      <c r="G184" s="41">
        <f>SUM(G180:G183)</f>
        <v>30000</v>
      </c>
      <c r="H184" s="41">
        <f>SUM(H180:H183)</f>
        <v>0</v>
      </c>
      <c r="I184" s="41">
        <f>SUM(I180:I183)</f>
        <v>0</v>
      </c>
      <c r="J184" s="41">
        <f>SUM(J180:J183)</f>
        <v>185000</v>
      </c>
      <c r="K184" s="45" t="s">
        <v>288</v>
      </c>
      <c r="L184" s="45" t="s">
        <v>288</v>
      </c>
      <c r="M184" s="8"/>
      <c r="N184" s="262"/>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2"/>
    </row>
    <row r="186" spans="1:14" s="3" customFormat="1" ht="12.2" customHeight="1" x14ac:dyDescent="0.15">
      <c r="A186" s="1" t="s">
        <v>528</v>
      </c>
      <c r="B186" s="2" t="s">
        <v>330</v>
      </c>
      <c r="C186" s="6">
        <v>11</v>
      </c>
      <c r="D186" s="2" t="s">
        <v>430</v>
      </c>
      <c r="E186" s="6">
        <v>5251</v>
      </c>
      <c r="F186" s="18">
        <v>198450</v>
      </c>
      <c r="G186" s="18">
        <v>0</v>
      </c>
      <c r="H186" s="18">
        <v>0</v>
      </c>
      <c r="I186" s="18">
        <v>0</v>
      </c>
      <c r="J186" s="24" t="s">
        <v>288</v>
      </c>
      <c r="K186" s="24" t="s">
        <v>288</v>
      </c>
      <c r="L186" s="24" t="s">
        <v>288</v>
      </c>
      <c r="M186" s="8"/>
      <c r="N186" s="262"/>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0"/>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0"/>
    </row>
    <row r="189" spans="1:14" s="3" customFormat="1" ht="12.2" customHeight="1" thickTop="1" x14ac:dyDescent="0.15">
      <c r="A189" s="38" t="s">
        <v>417</v>
      </c>
      <c r="B189" s="39" t="s">
        <v>330</v>
      </c>
      <c r="C189" s="40">
        <v>14</v>
      </c>
      <c r="D189" s="39" t="s">
        <v>430</v>
      </c>
      <c r="E189" s="44">
        <v>5250</v>
      </c>
      <c r="F189" s="41">
        <f>SUM(F186:F188)</f>
        <v>198450</v>
      </c>
      <c r="G189" s="41">
        <f>SUM(G186:G188)</f>
        <v>0</v>
      </c>
      <c r="H189" s="41">
        <f>SUM(H186:H188)</f>
        <v>0</v>
      </c>
      <c r="I189" s="41">
        <f>SUM(I186:I188)</f>
        <v>0</v>
      </c>
      <c r="J189" s="45" t="s">
        <v>288</v>
      </c>
      <c r="K189" s="45" t="s">
        <v>288</v>
      </c>
      <c r="L189" s="45" t="s">
        <v>288</v>
      </c>
      <c r="M189" s="8"/>
      <c r="N189" s="262"/>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2"/>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2"/>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2"/>
    </row>
    <row r="193" spans="1:14" s="3" customFormat="1" ht="12.2" customHeight="1" thickTop="1" thickBot="1" x14ac:dyDescent="0.25">
      <c r="A193" s="38" t="s">
        <v>418</v>
      </c>
      <c r="B193" s="39" t="s">
        <v>330</v>
      </c>
      <c r="C193" s="40">
        <v>18</v>
      </c>
      <c r="D193" s="154" t="s">
        <v>430</v>
      </c>
      <c r="E193" s="51">
        <v>5000</v>
      </c>
      <c r="F193" s="41">
        <f>F178+F184+SUM(F189:F192)</f>
        <v>198450</v>
      </c>
      <c r="G193" s="41">
        <f>G184+SUM(G189:G192)</f>
        <v>30000</v>
      </c>
      <c r="H193" s="41">
        <f>+H184+SUM(H189:H192)</f>
        <v>0</v>
      </c>
      <c r="I193" s="41">
        <f>I178+I184+SUM(I189:I192)</f>
        <v>0</v>
      </c>
      <c r="J193" s="41">
        <f>J184</f>
        <v>185000</v>
      </c>
      <c r="K193" s="45" t="s">
        <v>288</v>
      </c>
      <c r="L193" s="45" t="s">
        <v>288</v>
      </c>
      <c r="M193" s="8"/>
      <c r="N193" s="262"/>
    </row>
    <row r="194" spans="1:14" s="3" customFormat="1" ht="12.2" customHeight="1" thickTop="1" x14ac:dyDescent="0.2">
      <c r="A194" s="46" t="s">
        <v>457</v>
      </c>
      <c r="B194" s="39" t="s">
        <v>330</v>
      </c>
      <c r="C194" s="40">
        <v>19</v>
      </c>
      <c r="D194" s="155" t="s">
        <v>430</v>
      </c>
      <c r="E194" s="44"/>
      <c r="F194" s="47">
        <f>F112+F140+F170+F193</f>
        <v>15021094.040000001</v>
      </c>
      <c r="G194" s="47">
        <f>G112+G140+G170+G193</f>
        <v>453437.12</v>
      </c>
      <c r="H194" s="47">
        <f>H112+H140+H170+H193</f>
        <v>1346202.0999999999</v>
      </c>
      <c r="I194" s="47">
        <f>I112+I140+I170+I193</f>
        <v>0</v>
      </c>
      <c r="J194" s="47">
        <f>J112+J140+J193</f>
        <v>187003.42</v>
      </c>
      <c r="K194" s="45" t="s">
        <v>288</v>
      </c>
      <c r="L194" s="45" t="s">
        <v>288</v>
      </c>
      <c r="M194" s="8"/>
      <c r="N194" s="262"/>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2"/>
    </row>
    <row r="196" spans="1:14" s="3" customFormat="1" ht="12.2" customHeight="1" x14ac:dyDescent="0.15">
      <c r="A196" s="29" t="s">
        <v>451</v>
      </c>
      <c r="F196" s="102" t="s">
        <v>54</v>
      </c>
      <c r="G196" s="102" t="s">
        <v>55</v>
      </c>
      <c r="H196" s="102" t="s">
        <v>56</v>
      </c>
      <c r="I196" s="102" t="s">
        <v>57</v>
      </c>
      <c r="J196" s="102" t="s">
        <v>58</v>
      </c>
      <c r="K196" s="102" t="s">
        <v>59</v>
      </c>
      <c r="L196" s="102" t="s">
        <v>5</v>
      </c>
      <c r="M196" s="8"/>
      <c r="N196" s="262"/>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2"/>
    </row>
    <row r="198" spans="1:14" s="3" customFormat="1" ht="12.2" customHeight="1" x14ac:dyDescent="0.15">
      <c r="A198" s="1" t="s">
        <v>438</v>
      </c>
      <c r="B198" s="2" t="s">
        <v>341</v>
      </c>
      <c r="C198" s="2" t="s">
        <v>290</v>
      </c>
      <c r="D198" s="2" t="s">
        <v>431</v>
      </c>
      <c r="E198" s="6">
        <v>1100</v>
      </c>
      <c r="F198" s="18">
        <v>2426298.5699999998</v>
      </c>
      <c r="G198" s="18">
        <v>1103919.2575064935</v>
      </c>
      <c r="H198" s="18">
        <v>10110.17</v>
      </c>
      <c r="I198" s="18">
        <v>61251.538636363635</v>
      </c>
      <c r="J198" s="18">
        <v>8279.2000000000007</v>
      </c>
      <c r="K198" s="18">
        <v>0</v>
      </c>
      <c r="L198" s="19">
        <f>SUM(F198:K198)</f>
        <v>3609858.736142857</v>
      </c>
      <c r="M198" s="8"/>
      <c r="N198" s="262"/>
    </row>
    <row r="199" spans="1:14" s="3" customFormat="1" ht="12.2" customHeight="1" x14ac:dyDescent="0.15">
      <c r="A199" s="1" t="s">
        <v>439</v>
      </c>
      <c r="B199" s="2" t="s">
        <v>341</v>
      </c>
      <c r="C199" s="2" t="s">
        <v>291</v>
      </c>
      <c r="D199" s="2" t="s">
        <v>431</v>
      </c>
      <c r="E199" s="6">
        <v>1200</v>
      </c>
      <c r="F199" s="18">
        <v>1324575.7985714287</v>
      </c>
      <c r="G199" s="18">
        <v>363195.35438961035</v>
      </c>
      <c r="H199" s="18">
        <v>422797.52861038962</v>
      </c>
      <c r="I199" s="18">
        <v>25324.325116883119</v>
      </c>
      <c r="J199" s="18">
        <v>659.98</v>
      </c>
      <c r="K199" s="18">
        <v>5519.2218831168821</v>
      </c>
      <c r="L199" s="19">
        <f>SUM(F199:K199)</f>
        <v>2142072.2085714284</v>
      </c>
      <c r="M199" s="8"/>
      <c r="N199" s="262"/>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2"/>
    </row>
    <row r="201" spans="1:14" s="3" customFormat="1" ht="12.2" customHeight="1" x14ac:dyDescent="0.15">
      <c r="A201" s="1" t="s">
        <v>441</v>
      </c>
      <c r="B201" s="2" t="s">
        <v>341</v>
      </c>
      <c r="C201" s="2" t="s">
        <v>293</v>
      </c>
      <c r="D201" s="2" t="s">
        <v>431</v>
      </c>
      <c r="E201" s="6">
        <v>1400</v>
      </c>
      <c r="F201" s="18">
        <v>11503</v>
      </c>
      <c r="G201" s="18">
        <v>17704.999233766233</v>
      </c>
      <c r="H201" s="18">
        <v>3056.5</v>
      </c>
      <c r="I201" s="18">
        <v>5009.58</v>
      </c>
      <c r="J201" s="18">
        <v>1.25</v>
      </c>
      <c r="K201" s="18">
        <v>100</v>
      </c>
      <c r="L201" s="19">
        <f>SUM(F201:K201)</f>
        <v>37375.329233766235</v>
      </c>
      <c r="M201" s="8"/>
      <c r="N201" s="262"/>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2"/>
    </row>
    <row r="203" spans="1:14" s="3" customFormat="1" ht="12.2" customHeight="1" x14ac:dyDescent="0.15">
      <c r="A203" s="1" t="s">
        <v>442</v>
      </c>
      <c r="B203" s="2" t="s">
        <v>341</v>
      </c>
      <c r="C203" s="2" t="s">
        <v>294</v>
      </c>
      <c r="D203" s="2" t="s">
        <v>431</v>
      </c>
      <c r="E203" s="6">
        <v>2100</v>
      </c>
      <c r="F203" s="18">
        <v>536404.82003896101</v>
      </c>
      <c r="G203" s="18">
        <v>213080.44223376623</v>
      </c>
      <c r="H203" s="18">
        <v>50845.912636363631</v>
      </c>
      <c r="I203" s="18">
        <v>3715.6438181818176</v>
      </c>
      <c r="J203" s="18">
        <v>127.70197402597401</v>
      </c>
      <c r="K203" s="18">
        <v>272.24183116883114</v>
      </c>
      <c r="L203" s="19">
        <f t="shared" ref="L203:L209" si="0">SUM(F203:K203)</f>
        <v>804446.76253246749</v>
      </c>
      <c r="M203" s="8"/>
      <c r="N203" s="262"/>
    </row>
    <row r="204" spans="1:14" s="3" customFormat="1" ht="12.2" customHeight="1" x14ac:dyDescent="0.15">
      <c r="A204" s="1" t="s">
        <v>443</v>
      </c>
      <c r="B204" s="2" t="s">
        <v>341</v>
      </c>
      <c r="C204" s="2" t="s">
        <v>295</v>
      </c>
      <c r="D204" s="2" t="s">
        <v>431</v>
      </c>
      <c r="E204" s="6">
        <v>2200</v>
      </c>
      <c r="F204" s="18">
        <v>128332.40909090909</v>
      </c>
      <c r="G204" s="18">
        <v>68087.067077922082</v>
      </c>
      <c r="H204" s="18">
        <v>15169.026883116883</v>
      </c>
      <c r="I204" s="18">
        <v>29887.007818181817</v>
      </c>
      <c r="J204" s="18">
        <v>273.95999999999998</v>
      </c>
      <c r="K204" s="18">
        <v>0</v>
      </c>
      <c r="L204" s="19">
        <f t="shared" si="0"/>
        <v>241749.47087012988</v>
      </c>
      <c r="M204" s="8"/>
      <c r="N204" s="262"/>
    </row>
    <row r="205" spans="1:14" s="3" customFormat="1" ht="12.2" customHeight="1" x14ac:dyDescent="0.15">
      <c r="A205" s="1" t="s">
        <v>444</v>
      </c>
      <c r="B205" s="2" t="s">
        <v>341</v>
      </c>
      <c r="C205" s="2" t="s">
        <v>296</v>
      </c>
      <c r="D205" s="2" t="s">
        <v>431</v>
      </c>
      <c r="E205" s="6">
        <v>2300</v>
      </c>
      <c r="F205" s="18">
        <v>400791.22336363635</v>
      </c>
      <c r="G205" s="18">
        <v>167272.89155844154</v>
      </c>
      <c r="H205" s="18">
        <v>136336.9165974026</v>
      </c>
      <c r="I205" s="18">
        <v>7041.7113636363629</v>
      </c>
      <c r="J205" s="18">
        <v>291.27976623376622</v>
      </c>
      <c r="K205" s="18">
        <v>5263.5431298701296</v>
      </c>
      <c r="L205" s="19">
        <f t="shared" si="0"/>
        <v>716997.56577922066</v>
      </c>
      <c r="M205" s="8"/>
      <c r="N205" s="262"/>
    </row>
    <row r="206" spans="1:14" s="3" customFormat="1" ht="12.2" customHeight="1" x14ac:dyDescent="0.15">
      <c r="A206" s="1" t="s">
        <v>445</v>
      </c>
      <c r="B206" s="2" t="s">
        <v>341</v>
      </c>
      <c r="C206" s="2" t="s">
        <v>297</v>
      </c>
      <c r="D206" s="2" t="s">
        <v>431</v>
      </c>
      <c r="E206" s="6">
        <v>2400</v>
      </c>
      <c r="F206" s="18">
        <v>381545.65</v>
      </c>
      <c r="G206" s="18">
        <v>160410.38</v>
      </c>
      <c r="H206" s="18">
        <v>25272.880000000001</v>
      </c>
      <c r="I206" s="18">
        <v>3664.31</v>
      </c>
      <c r="J206" s="18">
        <v>0</v>
      </c>
      <c r="K206" s="18">
        <v>1758</v>
      </c>
      <c r="L206" s="19">
        <f t="shared" si="0"/>
        <v>572651.22000000009</v>
      </c>
      <c r="M206" s="8"/>
      <c r="N206" s="262"/>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2"/>
    </row>
    <row r="208" spans="1:14" s="3" customFormat="1" ht="12.2" customHeight="1" x14ac:dyDescent="0.15">
      <c r="A208" s="1" t="s">
        <v>447</v>
      </c>
      <c r="B208" s="2" t="s">
        <v>341</v>
      </c>
      <c r="C208" s="2" t="s">
        <v>299</v>
      </c>
      <c r="D208" s="2" t="s">
        <v>431</v>
      </c>
      <c r="E208" s="6">
        <v>2600</v>
      </c>
      <c r="F208" s="18">
        <v>372798.38158441556</v>
      </c>
      <c r="G208" s="18">
        <v>149457.18435064936</v>
      </c>
      <c r="H208" s="18">
        <v>447237.09668831166</v>
      </c>
      <c r="I208" s="18">
        <v>201259.31196103897</v>
      </c>
      <c r="J208" s="18">
        <v>10991.13</v>
      </c>
      <c r="K208" s="18">
        <v>0</v>
      </c>
      <c r="L208" s="19">
        <f t="shared" si="0"/>
        <v>1181743.1045844154</v>
      </c>
      <c r="M208" s="8"/>
      <c r="N208" s="262"/>
    </row>
    <row r="209" spans="1:14" s="3" customFormat="1" ht="12.2" customHeight="1" x14ac:dyDescent="0.15">
      <c r="A209" s="1" t="s">
        <v>448</v>
      </c>
      <c r="B209" s="2" t="s">
        <v>341</v>
      </c>
      <c r="C209" s="2" t="s">
        <v>300</v>
      </c>
      <c r="D209" s="2" t="s">
        <v>431</v>
      </c>
      <c r="E209" s="6">
        <v>2700</v>
      </c>
      <c r="F209" s="18">
        <v>136339.90719480519</v>
      </c>
      <c r="G209" s="18">
        <v>39711.657844155838</v>
      </c>
      <c r="H209" s="18">
        <v>84339.582961038948</v>
      </c>
      <c r="I209" s="18">
        <v>14975.460999999999</v>
      </c>
      <c r="J209" s="18">
        <v>2523.8933506493504</v>
      </c>
      <c r="K209" s="18">
        <v>1040.8246753246754</v>
      </c>
      <c r="L209" s="19">
        <f t="shared" si="0"/>
        <v>278931.32702597394</v>
      </c>
      <c r="M209" s="8"/>
      <c r="N209" s="262"/>
    </row>
    <row r="210" spans="1:14" s="3" customFormat="1" ht="12.2" customHeight="1" x14ac:dyDescent="0.15">
      <c r="A210" s="1" t="s">
        <v>449</v>
      </c>
      <c r="B210" s="2" t="s">
        <v>341</v>
      </c>
      <c r="C210" s="2" t="s">
        <v>343</v>
      </c>
      <c r="D210" s="2" t="s">
        <v>431</v>
      </c>
      <c r="E210" s="6">
        <v>2800</v>
      </c>
      <c r="F210" s="18">
        <v>99918.454337662319</v>
      </c>
      <c r="G210" s="18">
        <v>43307.299493506485</v>
      </c>
      <c r="H210" s="18">
        <v>26270.620909090907</v>
      </c>
      <c r="I210" s="18">
        <v>51052.615207792209</v>
      </c>
      <c r="J210" s="18">
        <v>62998.431376623368</v>
      </c>
      <c r="K210" s="18">
        <v>0</v>
      </c>
      <c r="L210" s="19">
        <f>SUM(F210:K210)</f>
        <v>283547.42132467532</v>
      </c>
      <c r="M210" s="8"/>
      <c r="N210" s="262"/>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2"/>
    </row>
    <row r="212" spans="1:14" s="3" customFormat="1" ht="12.2" customHeight="1" thickTop="1" x14ac:dyDescent="0.15">
      <c r="A212" s="38" t="s">
        <v>419</v>
      </c>
      <c r="B212" s="39" t="s">
        <v>341</v>
      </c>
      <c r="C212" s="39" t="s">
        <v>345</v>
      </c>
      <c r="D212" s="39" t="s">
        <v>431</v>
      </c>
      <c r="E212" s="39"/>
      <c r="F212" s="41">
        <f t="shared" ref="F212:L212" si="1">SUM(F198:F211)</f>
        <v>5818508.2141818181</v>
      </c>
      <c r="G212" s="41">
        <f t="shared" si="1"/>
        <v>2326146.5336883119</v>
      </c>
      <c r="H212" s="41">
        <f t="shared" si="1"/>
        <v>1221436.2352857143</v>
      </c>
      <c r="I212" s="41">
        <f t="shared" si="1"/>
        <v>403181.50492207793</v>
      </c>
      <c r="J212" s="41">
        <f t="shared" si="1"/>
        <v>86146.826467532461</v>
      </c>
      <c r="K212" s="41">
        <f t="shared" si="1"/>
        <v>13953.831519480518</v>
      </c>
      <c r="L212" s="41">
        <f t="shared" si="1"/>
        <v>9869373.1460649353</v>
      </c>
      <c r="M212" s="8"/>
      <c r="N212" s="262"/>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6"/>
      <c r="M213" s="8"/>
      <c r="N213" s="262"/>
    </row>
    <row r="214" spans="1:14" s="3" customFormat="1" ht="12.2" customHeight="1" x14ac:dyDescent="0.15">
      <c r="A214" s="29" t="s">
        <v>452</v>
      </c>
      <c r="B214" s="7"/>
      <c r="C214" s="7"/>
      <c r="D214" s="7"/>
      <c r="E214" s="7"/>
      <c r="F214" s="102" t="s">
        <v>54</v>
      </c>
      <c r="G214" s="102" t="s">
        <v>55</v>
      </c>
      <c r="H214" s="102" t="s">
        <v>56</v>
      </c>
      <c r="I214" s="102" t="s">
        <v>57</v>
      </c>
      <c r="J214" s="102" t="s">
        <v>58</v>
      </c>
      <c r="K214" s="102" t="s">
        <v>59</v>
      </c>
      <c r="L214" s="102" t="s">
        <v>5</v>
      </c>
      <c r="M214" s="8"/>
      <c r="N214" s="262"/>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2"/>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2"/>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2"/>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2"/>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2"/>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2"/>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2"/>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2"/>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2"/>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2"/>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2"/>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2"/>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2"/>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2"/>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2"/>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2"/>
    </row>
    <row r="231" spans="1:14" s="3" customFormat="1" ht="12.2" customHeight="1" x14ac:dyDescent="0.15">
      <c r="A231" s="55" t="s">
        <v>465</v>
      </c>
      <c r="B231" s="36"/>
      <c r="C231" s="74"/>
      <c r="D231" s="74"/>
      <c r="E231" s="74"/>
      <c r="F231" s="175" t="s">
        <v>689</v>
      </c>
      <c r="G231" s="175" t="s">
        <v>690</v>
      </c>
      <c r="H231" s="175" t="s">
        <v>691</v>
      </c>
      <c r="I231" s="175" t="s">
        <v>692</v>
      </c>
      <c r="J231" s="175" t="s">
        <v>693</v>
      </c>
      <c r="K231" s="175" t="s">
        <v>694</v>
      </c>
      <c r="L231" s="66"/>
      <c r="M231" s="8"/>
      <c r="N231" s="262"/>
    </row>
    <row r="232" spans="1:14" s="3" customFormat="1" ht="12.2" customHeight="1" x14ac:dyDescent="0.15">
      <c r="A232" s="29" t="s">
        <v>453</v>
      </c>
      <c r="F232" s="102" t="s">
        <v>54</v>
      </c>
      <c r="G232" s="102" t="s">
        <v>55</v>
      </c>
      <c r="H232" s="102" t="s">
        <v>56</v>
      </c>
      <c r="I232" s="102" t="s">
        <v>57</v>
      </c>
      <c r="J232" s="102" t="s">
        <v>58</v>
      </c>
      <c r="K232" s="102" t="s">
        <v>59</v>
      </c>
      <c r="L232" s="102" t="s">
        <v>5</v>
      </c>
      <c r="M232" s="8"/>
      <c r="N232" s="262"/>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2"/>
    </row>
    <row r="234" spans="1:14" s="3" customFormat="1" ht="12.2" customHeight="1" x14ac:dyDescent="0.15">
      <c r="A234" s="1" t="s">
        <v>438</v>
      </c>
      <c r="B234" s="2" t="s">
        <v>350</v>
      </c>
      <c r="C234" s="2" t="s">
        <v>290</v>
      </c>
      <c r="D234" s="2" t="s">
        <v>431</v>
      </c>
      <c r="E234" s="6">
        <v>1100</v>
      </c>
      <c r="F234" s="18">
        <v>1023215.08</v>
      </c>
      <c r="G234" s="18">
        <v>495713.95249350643</v>
      </c>
      <c r="H234" s="18">
        <v>26743.43</v>
      </c>
      <c r="I234" s="18">
        <v>16171.201363636364</v>
      </c>
      <c r="J234" s="18">
        <v>4220.47</v>
      </c>
      <c r="K234" s="18">
        <v>0</v>
      </c>
      <c r="L234" s="19">
        <f>SUM(F234:K234)</f>
        <v>1566064.1338571426</v>
      </c>
      <c r="M234" s="8"/>
      <c r="N234" s="262"/>
    </row>
    <row r="235" spans="1:14" s="3" customFormat="1" ht="12.2" customHeight="1" x14ac:dyDescent="0.15">
      <c r="A235" s="1" t="s">
        <v>439</v>
      </c>
      <c r="B235" s="2" t="s">
        <v>350</v>
      </c>
      <c r="C235" s="2" t="s">
        <v>291</v>
      </c>
      <c r="D235" s="2" t="s">
        <v>431</v>
      </c>
      <c r="E235" s="6">
        <v>1200</v>
      </c>
      <c r="F235" s="18">
        <v>396963.87142857141</v>
      </c>
      <c r="G235" s="18">
        <v>138499.39561038962</v>
      </c>
      <c r="H235" s="18">
        <v>659238.82138961041</v>
      </c>
      <c r="I235" s="18">
        <v>9421.4948831168822</v>
      </c>
      <c r="J235" s="18">
        <v>74.97</v>
      </c>
      <c r="K235" s="18">
        <v>2514.4281168831167</v>
      </c>
      <c r="L235" s="19">
        <f>SUM(F235:K235)</f>
        <v>1206712.9814285713</v>
      </c>
      <c r="M235" s="8"/>
      <c r="N235" s="262"/>
    </row>
    <row r="236" spans="1:14" s="3" customFormat="1" ht="12.2" customHeight="1" x14ac:dyDescent="0.15">
      <c r="A236" s="1" t="s">
        <v>440</v>
      </c>
      <c r="B236" s="2" t="s">
        <v>350</v>
      </c>
      <c r="C236" s="2" t="s">
        <v>292</v>
      </c>
      <c r="D236" s="2" t="s">
        <v>431</v>
      </c>
      <c r="E236" s="6">
        <v>1300</v>
      </c>
      <c r="F236" s="18">
        <v>0</v>
      </c>
      <c r="G236" s="18">
        <v>0</v>
      </c>
      <c r="H236" s="18">
        <v>31362.06</v>
      </c>
      <c r="I236" s="18">
        <v>0</v>
      </c>
      <c r="J236" s="18">
        <v>0</v>
      </c>
      <c r="K236" s="18">
        <v>0</v>
      </c>
      <c r="L236" s="19">
        <f>SUM(F236:K236)</f>
        <v>31362.06</v>
      </c>
      <c r="M236" s="8"/>
      <c r="N236" s="262"/>
    </row>
    <row r="237" spans="1:14" s="3" customFormat="1" ht="12.2" customHeight="1" x14ac:dyDescent="0.15">
      <c r="A237" s="1" t="s">
        <v>441</v>
      </c>
      <c r="B237" s="2" t="s">
        <v>350</v>
      </c>
      <c r="C237" s="2" t="s">
        <v>293</v>
      </c>
      <c r="D237" s="2" t="s">
        <v>431</v>
      </c>
      <c r="E237" s="6">
        <v>1400</v>
      </c>
      <c r="F237" s="18">
        <v>69826.560000000012</v>
      </c>
      <c r="G237" s="18">
        <v>12253.300766233766</v>
      </c>
      <c r="H237" s="18">
        <v>11594.15</v>
      </c>
      <c r="I237" s="18">
        <v>5009.42</v>
      </c>
      <c r="J237" s="18">
        <v>0</v>
      </c>
      <c r="K237" s="18">
        <v>3310</v>
      </c>
      <c r="L237" s="19">
        <f>SUM(F237:K237)</f>
        <v>101993.43076623377</v>
      </c>
      <c r="M237" s="8"/>
      <c r="N237" s="262"/>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2"/>
    </row>
    <row r="239" spans="1:14" s="3" customFormat="1" ht="12.2" customHeight="1" x14ac:dyDescent="0.15">
      <c r="A239" s="1" t="s">
        <v>442</v>
      </c>
      <c r="B239" s="2" t="s">
        <v>350</v>
      </c>
      <c r="C239" s="2" t="s">
        <v>294</v>
      </c>
      <c r="D239" s="2" t="s">
        <v>431</v>
      </c>
      <c r="E239" s="6">
        <v>2100</v>
      </c>
      <c r="F239" s="18">
        <v>241109.85996103892</v>
      </c>
      <c r="G239" s="18">
        <v>92736.977766233758</v>
      </c>
      <c r="H239" s="18">
        <v>24065.697363636362</v>
      </c>
      <c r="I239" s="18">
        <v>3780.376181818182</v>
      </c>
      <c r="J239" s="18">
        <v>262.10802597402596</v>
      </c>
      <c r="K239" s="18">
        <v>330.24816883116881</v>
      </c>
      <c r="L239" s="19">
        <f t="shared" ref="L239:L245" si="4">SUM(F239:K239)</f>
        <v>362285.26746753237</v>
      </c>
      <c r="M239" s="8"/>
      <c r="N239" s="262"/>
    </row>
    <row r="240" spans="1:14" s="3" customFormat="1" ht="12.2" customHeight="1" x14ac:dyDescent="0.15">
      <c r="A240" s="1" t="s">
        <v>443</v>
      </c>
      <c r="B240" s="2" t="s">
        <v>350</v>
      </c>
      <c r="C240" s="2" t="s">
        <v>295</v>
      </c>
      <c r="D240" s="2" t="s">
        <v>431</v>
      </c>
      <c r="E240" s="6">
        <v>2200</v>
      </c>
      <c r="F240" s="18">
        <v>72079.580909090902</v>
      </c>
      <c r="G240" s="18">
        <v>33731.172922077923</v>
      </c>
      <c r="H240" s="18">
        <v>6442.1831168831177</v>
      </c>
      <c r="I240" s="18">
        <v>13224.332181818183</v>
      </c>
      <c r="J240" s="18">
        <v>564.08000000000004</v>
      </c>
      <c r="K240" s="18">
        <v>350</v>
      </c>
      <c r="L240" s="19">
        <f t="shared" si="4"/>
        <v>126391.34912987013</v>
      </c>
      <c r="M240" s="8"/>
      <c r="N240" s="262"/>
    </row>
    <row r="241" spans="1:14" s="3" customFormat="1" ht="12.2" customHeight="1" x14ac:dyDescent="0.15">
      <c r="A241" s="1" t="s">
        <v>444</v>
      </c>
      <c r="B241" s="2" t="s">
        <v>350</v>
      </c>
      <c r="C241" s="2" t="s">
        <v>296</v>
      </c>
      <c r="D241" s="2" t="s">
        <v>431</v>
      </c>
      <c r="E241" s="6">
        <v>2300</v>
      </c>
      <c r="F241" s="18">
        <v>182591.08663636365</v>
      </c>
      <c r="G241" s="18">
        <v>76205.608441558434</v>
      </c>
      <c r="H241" s="18">
        <v>62111.903402597403</v>
      </c>
      <c r="I241" s="18">
        <v>3208.0386363636362</v>
      </c>
      <c r="J241" s="18">
        <v>132.70023376623377</v>
      </c>
      <c r="K241" s="18">
        <v>2397.9468701298701</v>
      </c>
      <c r="L241" s="19">
        <f t="shared" si="4"/>
        <v>326647.2842207792</v>
      </c>
      <c r="M241" s="8"/>
      <c r="N241" s="262"/>
    </row>
    <row r="242" spans="1:14" s="3" customFormat="1" ht="12.2" customHeight="1" x14ac:dyDescent="0.15">
      <c r="A242" s="1" t="s">
        <v>445</v>
      </c>
      <c r="B242" s="2" t="s">
        <v>350</v>
      </c>
      <c r="C242" s="2" t="s">
        <v>297</v>
      </c>
      <c r="D242" s="2" t="s">
        <v>431</v>
      </c>
      <c r="E242" s="6">
        <v>2400</v>
      </c>
      <c r="F242" s="18">
        <v>217196.34</v>
      </c>
      <c r="G242" s="18">
        <v>103149.32</v>
      </c>
      <c r="H242" s="18">
        <v>15329.57</v>
      </c>
      <c r="I242" s="18">
        <v>1678.58</v>
      </c>
      <c r="J242" s="18">
        <v>104.4</v>
      </c>
      <c r="K242" s="18">
        <v>5125.47</v>
      </c>
      <c r="L242" s="19">
        <f t="shared" si="4"/>
        <v>342583.68000000005</v>
      </c>
      <c r="M242" s="8"/>
      <c r="N242" s="262"/>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2"/>
    </row>
    <row r="244" spans="1:14" s="3" customFormat="1" ht="12.2" customHeight="1" x14ac:dyDescent="0.15">
      <c r="A244" s="1" t="s">
        <v>447</v>
      </c>
      <c r="B244" s="2" t="s">
        <v>350</v>
      </c>
      <c r="C244" s="2" t="s">
        <v>299</v>
      </c>
      <c r="D244" s="2" t="s">
        <v>431</v>
      </c>
      <c r="E244" s="6">
        <v>2600</v>
      </c>
      <c r="F244" s="18">
        <v>195315.5784155844</v>
      </c>
      <c r="G244" s="18">
        <v>76640.805649350645</v>
      </c>
      <c r="H244" s="18">
        <v>258764.89331168833</v>
      </c>
      <c r="I244" s="18">
        <v>123216.55803896104</v>
      </c>
      <c r="J244" s="18">
        <v>0</v>
      </c>
      <c r="K244" s="18">
        <v>0</v>
      </c>
      <c r="L244" s="19">
        <f t="shared" si="4"/>
        <v>653937.83541558438</v>
      </c>
      <c r="M244" s="8"/>
      <c r="N244" s="262"/>
    </row>
    <row r="245" spans="1:14" s="3" customFormat="1" ht="12.2" customHeight="1" x14ac:dyDescent="0.15">
      <c r="A245" s="1" t="s">
        <v>448</v>
      </c>
      <c r="B245" s="2" t="s">
        <v>350</v>
      </c>
      <c r="C245" s="2" t="s">
        <v>300</v>
      </c>
      <c r="D245" s="2" t="s">
        <v>431</v>
      </c>
      <c r="E245" s="6">
        <v>2700</v>
      </c>
      <c r="F245" s="18">
        <v>82852.2028051948</v>
      </c>
      <c r="G245" s="18">
        <v>24250.762155844157</v>
      </c>
      <c r="H245" s="18">
        <v>38423.137038961038</v>
      </c>
      <c r="I245" s="18">
        <v>6822.4690000000001</v>
      </c>
      <c r="J245" s="18">
        <v>1149.8266493506492</v>
      </c>
      <c r="K245" s="18">
        <v>474.17532467532465</v>
      </c>
      <c r="L245" s="19">
        <f t="shared" si="4"/>
        <v>153972.572974026</v>
      </c>
      <c r="M245" s="8"/>
      <c r="N245" s="262"/>
    </row>
    <row r="246" spans="1:14" s="3" customFormat="1" ht="12.2" customHeight="1" x14ac:dyDescent="0.15">
      <c r="A246" s="1" t="s">
        <v>449</v>
      </c>
      <c r="B246" s="2" t="s">
        <v>350</v>
      </c>
      <c r="C246" s="2" t="s">
        <v>343</v>
      </c>
      <c r="D246" s="2" t="s">
        <v>431</v>
      </c>
      <c r="E246" s="6">
        <v>2800</v>
      </c>
      <c r="F246" s="18">
        <v>45520.505662337659</v>
      </c>
      <c r="G246" s="18">
        <v>19729.790506493504</v>
      </c>
      <c r="H246" s="18">
        <v>11968.279090909091</v>
      </c>
      <c r="I246" s="18">
        <v>23258.374792207793</v>
      </c>
      <c r="J246" s="18">
        <v>28700.608623376622</v>
      </c>
      <c r="K246" s="18">
        <v>0</v>
      </c>
      <c r="L246" s="19">
        <f>SUM(F246:K246)</f>
        <v>129177.55867532468</v>
      </c>
      <c r="M246" s="8"/>
      <c r="N246" s="262"/>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2"/>
    </row>
    <row r="248" spans="1:14" s="3" customFormat="1" ht="12.2" customHeight="1" thickTop="1" x14ac:dyDescent="0.15">
      <c r="A248" s="38" t="s">
        <v>681</v>
      </c>
      <c r="B248" s="39" t="s">
        <v>350</v>
      </c>
      <c r="C248" s="40">
        <v>14</v>
      </c>
      <c r="D248" s="39" t="s">
        <v>431</v>
      </c>
      <c r="E248" s="40"/>
      <c r="F248" s="41">
        <f t="shared" ref="F248:L248" si="5">SUM(F234:F247)</f>
        <v>2526670.6658181818</v>
      </c>
      <c r="G248" s="41">
        <f t="shared" si="5"/>
        <v>1072911.0863116882</v>
      </c>
      <c r="H248" s="41">
        <f t="shared" si="5"/>
        <v>1146044.1247142858</v>
      </c>
      <c r="I248" s="41">
        <f t="shared" si="5"/>
        <v>205790.84507792207</v>
      </c>
      <c r="J248" s="41">
        <f t="shared" si="5"/>
        <v>35209.16353246753</v>
      </c>
      <c r="K248" s="41">
        <f t="shared" si="5"/>
        <v>14502.26848051948</v>
      </c>
      <c r="L248" s="41">
        <f t="shared" si="5"/>
        <v>5001128.1539350646</v>
      </c>
      <c r="M248" s="8"/>
      <c r="N248" s="262"/>
    </row>
    <row r="249" spans="1:14" s="3" customFormat="1" ht="12.2" customHeight="1" x14ac:dyDescent="0.15">
      <c r="A249" s="69"/>
      <c r="B249" s="36"/>
      <c r="C249" s="37"/>
      <c r="D249" s="37"/>
      <c r="E249" s="37"/>
      <c r="F249" s="175" t="s">
        <v>689</v>
      </c>
      <c r="G249" s="175" t="s">
        <v>690</v>
      </c>
      <c r="H249" s="175" t="s">
        <v>691</v>
      </c>
      <c r="I249" s="175" t="s">
        <v>692</v>
      </c>
      <c r="J249" s="175" t="s">
        <v>693</v>
      </c>
      <c r="K249" s="175" t="s">
        <v>694</v>
      </c>
      <c r="L249" s="66"/>
      <c r="M249" s="8"/>
      <c r="N249" s="262"/>
    </row>
    <row r="250" spans="1:14" s="3" customFormat="1" ht="12.2" customHeight="1" x14ac:dyDescent="0.15">
      <c r="A250" s="29" t="s">
        <v>351</v>
      </c>
      <c r="B250" s="7"/>
      <c r="C250" s="7"/>
      <c r="D250" s="7"/>
      <c r="E250" s="7"/>
      <c r="F250" s="102" t="s">
        <v>54</v>
      </c>
      <c r="G250" s="102" t="s">
        <v>55</v>
      </c>
      <c r="H250" s="102" t="s">
        <v>56</v>
      </c>
      <c r="I250" s="102" t="s">
        <v>57</v>
      </c>
      <c r="J250" s="102" t="s">
        <v>58</v>
      </c>
      <c r="K250" s="102" t="s">
        <v>59</v>
      </c>
      <c r="L250" s="102" t="s">
        <v>5</v>
      </c>
      <c r="M250" s="8"/>
      <c r="N250" s="262"/>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2"/>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2"/>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2"/>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2"/>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2"/>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2"/>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2"/>
    </row>
    <row r="258" spans="1:14" s="3" customFormat="1" ht="12.2" customHeight="1" thickTop="1" x14ac:dyDescent="0.15">
      <c r="A258" s="38" t="s">
        <v>462</v>
      </c>
      <c r="B258" s="40">
        <v>10</v>
      </c>
      <c r="C258" s="40">
        <v>8</v>
      </c>
      <c r="D258" s="39" t="s">
        <v>431</v>
      </c>
      <c r="E258" s="40"/>
      <c r="F258" s="41">
        <f t="shared" ref="F258:L258" si="8">F212+F230+F248+F257</f>
        <v>8345178.8799999999</v>
      </c>
      <c r="G258" s="41">
        <f t="shared" si="8"/>
        <v>3399057.62</v>
      </c>
      <c r="H258" s="41">
        <f t="shared" si="8"/>
        <v>2367480.3600000003</v>
      </c>
      <c r="I258" s="41">
        <f t="shared" si="8"/>
        <v>608972.35</v>
      </c>
      <c r="J258" s="41">
        <f t="shared" si="8"/>
        <v>121355.98999999999</v>
      </c>
      <c r="K258" s="41">
        <f t="shared" si="8"/>
        <v>28456.1</v>
      </c>
      <c r="L258" s="41">
        <f t="shared" si="8"/>
        <v>14870501.300000001</v>
      </c>
      <c r="M258" s="8"/>
      <c r="N258" s="262"/>
    </row>
    <row r="259" spans="1:14" s="3" customFormat="1" ht="12.2" customHeight="1" x14ac:dyDescent="0.15">
      <c r="A259" s="34" t="s">
        <v>354</v>
      </c>
      <c r="F259" s="13"/>
      <c r="G259" s="13"/>
      <c r="H259" s="13"/>
      <c r="I259" s="13"/>
      <c r="J259" s="13"/>
      <c r="K259" s="14" t="s">
        <v>286</v>
      </c>
      <c r="L259" s="14" t="s">
        <v>355</v>
      </c>
      <c r="M259" s="8"/>
      <c r="N259" s="262"/>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2"/>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0"/>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0"/>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0"/>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30000</v>
      </c>
      <c r="L264" s="19">
        <f>SUM(F264:K264)</f>
        <v>30000</v>
      </c>
      <c r="N264" s="260"/>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0"/>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0"/>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185000</v>
      </c>
      <c r="L267" s="19">
        <f t="shared" si="9"/>
        <v>185000</v>
      </c>
      <c r="N267" s="260"/>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0"/>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0"/>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0"/>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215000</v>
      </c>
      <c r="L271" s="41">
        <f t="shared" si="9"/>
        <v>215000</v>
      </c>
      <c r="M271" s="8"/>
      <c r="N271" s="262"/>
    </row>
    <row r="272" spans="1:14" s="34" customFormat="1" ht="12.2" customHeight="1" thickTop="1" x14ac:dyDescent="0.2">
      <c r="A272" s="43" t="s">
        <v>464</v>
      </c>
      <c r="B272" s="40">
        <v>10</v>
      </c>
      <c r="C272" s="40">
        <v>18</v>
      </c>
      <c r="D272" s="39" t="s">
        <v>431</v>
      </c>
      <c r="E272" s="40"/>
      <c r="F272" s="42">
        <f t="shared" ref="F272:L272" si="11">F258+F271</f>
        <v>8345178.8799999999</v>
      </c>
      <c r="G272" s="42">
        <f t="shared" si="11"/>
        <v>3399057.62</v>
      </c>
      <c r="H272" s="42">
        <f t="shared" si="11"/>
        <v>2367480.3600000003</v>
      </c>
      <c r="I272" s="42">
        <f t="shared" si="11"/>
        <v>608972.35</v>
      </c>
      <c r="J272" s="42">
        <f t="shared" si="11"/>
        <v>121355.98999999999</v>
      </c>
      <c r="K272" s="42">
        <f t="shared" si="11"/>
        <v>243456.1</v>
      </c>
      <c r="L272" s="42">
        <f t="shared" si="11"/>
        <v>15085501.300000001</v>
      </c>
      <c r="M272" s="35"/>
      <c r="N272" s="262"/>
    </row>
    <row r="273" spans="1:14" s="3" customFormat="1" ht="12.2" customHeight="1" x14ac:dyDescent="0.2">
      <c r="A273" s="33"/>
      <c r="B273" s="6"/>
      <c r="C273" s="6"/>
      <c r="D273" s="6"/>
      <c r="E273" s="6"/>
      <c r="F273" s="20"/>
      <c r="G273" s="20"/>
      <c r="H273" s="20"/>
      <c r="I273" s="20"/>
      <c r="J273" s="20"/>
      <c r="K273" s="20"/>
      <c r="L273" s="20"/>
      <c r="M273" s="8"/>
      <c r="N273" s="262"/>
    </row>
    <row r="274" spans="1:14" s="3" customFormat="1" ht="12.2" customHeight="1" x14ac:dyDescent="0.15">
      <c r="A274" s="29" t="s">
        <v>466</v>
      </c>
      <c r="F274" s="175" t="s">
        <v>689</v>
      </c>
      <c r="G274" s="175" t="s">
        <v>690</v>
      </c>
      <c r="H274" s="175" t="s">
        <v>691</v>
      </c>
      <c r="I274" s="175" t="s">
        <v>692</v>
      </c>
      <c r="J274" s="175" t="s">
        <v>693</v>
      </c>
      <c r="K274" s="175" t="s">
        <v>694</v>
      </c>
      <c r="M274" s="8"/>
      <c r="N274" s="262"/>
    </row>
    <row r="275" spans="1:14" s="3" customFormat="1" ht="12.2" customHeight="1" x14ac:dyDescent="0.15">
      <c r="A275" s="29" t="s">
        <v>451</v>
      </c>
      <c r="B275" s="34"/>
      <c r="C275" s="34"/>
      <c r="D275" s="34"/>
      <c r="E275" s="34"/>
      <c r="F275" s="102" t="s">
        <v>54</v>
      </c>
      <c r="G275" s="102" t="s">
        <v>55</v>
      </c>
      <c r="H275" s="102" t="s">
        <v>56</v>
      </c>
      <c r="I275" s="102" t="s">
        <v>57</v>
      </c>
      <c r="J275" s="102" t="s">
        <v>58</v>
      </c>
      <c r="K275" s="102" t="s">
        <v>59</v>
      </c>
      <c r="L275" s="102" t="s">
        <v>5</v>
      </c>
      <c r="M275" s="8"/>
      <c r="N275" s="262"/>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2"/>
    </row>
    <row r="277" spans="1:14" s="3" customFormat="1" ht="12.2" customHeight="1" x14ac:dyDescent="0.15">
      <c r="A277" s="1" t="s">
        <v>438</v>
      </c>
      <c r="B277" s="2" t="s">
        <v>357</v>
      </c>
      <c r="C277" s="2" t="s">
        <v>290</v>
      </c>
      <c r="D277" s="2" t="s">
        <v>431</v>
      </c>
      <c r="E277" s="6">
        <v>1100</v>
      </c>
      <c r="F277" s="18">
        <v>378832.66</v>
      </c>
      <c r="G277" s="18">
        <v>154102.92000000001</v>
      </c>
      <c r="H277" s="18">
        <v>11449.037077922078</v>
      </c>
      <c r="I277" s="18">
        <v>66564.783753246738</v>
      </c>
      <c r="J277" s="18">
        <v>349.95</v>
      </c>
      <c r="K277" s="18">
        <v>0</v>
      </c>
      <c r="L277" s="19">
        <f>SUM(F277:K277)</f>
        <v>611299.3508311687</v>
      </c>
      <c r="M277" s="8"/>
      <c r="N277" s="262"/>
    </row>
    <row r="278" spans="1:14" s="3" customFormat="1" ht="12.2" customHeight="1" x14ac:dyDescent="0.15">
      <c r="A278" s="1" t="s">
        <v>439</v>
      </c>
      <c r="B278" s="2" t="s">
        <v>357</v>
      </c>
      <c r="C278" s="2" t="s">
        <v>291</v>
      </c>
      <c r="D278" s="2" t="s">
        <v>431</v>
      </c>
      <c r="E278" s="6">
        <v>1200</v>
      </c>
      <c r="F278" s="18">
        <v>42676.442948051947</v>
      </c>
      <c r="G278" s="18">
        <v>23703.287727272724</v>
      </c>
      <c r="H278" s="18">
        <v>20850.390727272727</v>
      </c>
      <c r="I278" s="18">
        <v>5962.0079999999998</v>
      </c>
      <c r="J278" s="18">
        <v>0</v>
      </c>
      <c r="K278" s="18">
        <v>1085.4805194805194</v>
      </c>
      <c r="L278" s="19">
        <f>SUM(F278:K278)</f>
        <v>94277.609922077914</v>
      </c>
      <c r="M278" s="8"/>
      <c r="N278" s="262"/>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2"/>
    </row>
    <row r="280" spans="1:14" s="3" customFormat="1" ht="12.2" customHeight="1" x14ac:dyDescent="0.15">
      <c r="A280" s="1" t="s">
        <v>441</v>
      </c>
      <c r="B280" s="2" t="s">
        <v>357</v>
      </c>
      <c r="C280" s="2" t="s">
        <v>293</v>
      </c>
      <c r="D280" s="2" t="s">
        <v>431</v>
      </c>
      <c r="E280" s="6">
        <v>1400</v>
      </c>
      <c r="F280" s="18">
        <v>2834.86</v>
      </c>
      <c r="G280" s="18">
        <v>710.25</v>
      </c>
      <c r="H280" s="18">
        <v>0</v>
      </c>
      <c r="I280" s="18">
        <v>3999.38</v>
      </c>
      <c r="J280" s="18">
        <v>0</v>
      </c>
      <c r="K280" s="18">
        <v>0</v>
      </c>
      <c r="L280" s="19">
        <f>SUM(F280:K280)</f>
        <v>7544.49</v>
      </c>
      <c r="M280" s="8"/>
      <c r="N280" s="262"/>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2"/>
    </row>
    <row r="282" spans="1:14" s="3" customFormat="1" ht="12.2" customHeight="1" x14ac:dyDescent="0.15">
      <c r="A282" s="1" t="s">
        <v>442</v>
      </c>
      <c r="B282" s="2" t="s">
        <v>357</v>
      </c>
      <c r="C282" s="2" t="s">
        <v>294</v>
      </c>
      <c r="D282" s="2" t="s">
        <v>431</v>
      </c>
      <c r="E282" s="6">
        <v>2100</v>
      </c>
      <c r="F282" s="18">
        <v>9058.9137662337653</v>
      </c>
      <c r="G282" s="18">
        <v>1831.286649350649</v>
      </c>
      <c r="H282" s="18">
        <v>111381.41429870129</v>
      </c>
      <c r="I282" s="18">
        <v>117.34181818181818</v>
      </c>
      <c r="J282" s="18">
        <v>0</v>
      </c>
      <c r="K282" s="18">
        <v>0</v>
      </c>
      <c r="L282" s="19">
        <f t="shared" ref="L282:L288" si="12">SUM(F282:K282)</f>
        <v>122388.95653246752</v>
      </c>
      <c r="M282" s="8"/>
      <c r="N282" s="262"/>
    </row>
    <row r="283" spans="1:14" s="3" customFormat="1" ht="12.2" customHeight="1" x14ac:dyDescent="0.15">
      <c r="A283" s="1" t="s">
        <v>443</v>
      </c>
      <c r="B283" s="2" t="s">
        <v>357</v>
      </c>
      <c r="C283" s="2" t="s">
        <v>295</v>
      </c>
      <c r="D283" s="2" t="s">
        <v>431</v>
      </c>
      <c r="E283" s="6">
        <v>2200</v>
      </c>
      <c r="F283" s="18">
        <v>0</v>
      </c>
      <c r="G283" s="18">
        <v>0</v>
      </c>
      <c r="H283" s="18">
        <v>0</v>
      </c>
      <c r="I283" s="18">
        <v>0</v>
      </c>
      <c r="J283" s="18">
        <v>0</v>
      </c>
      <c r="K283" s="18">
        <v>0</v>
      </c>
      <c r="L283" s="19">
        <f t="shared" si="12"/>
        <v>0</v>
      </c>
      <c r="M283" s="8"/>
      <c r="N283" s="262"/>
    </row>
    <row r="284" spans="1:14" s="3" customFormat="1" ht="12.2" customHeight="1" x14ac:dyDescent="0.15">
      <c r="A284" s="1" t="s">
        <v>444</v>
      </c>
      <c r="B284" s="2" t="s">
        <v>357</v>
      </c>
      <c r="C284" s="2" t="s">
        <v>296</v>
      </c>
      <c r="D284" s="2" t="s">
        <v>431</v>
      </c>
      <c r="E284" s="6">
        <v>2300</v>
      </c>
      <c r="F284" s="18">
        <v>7117.7293506493497</v>
      </c>
      <c r="G284" s="18">
        <v>1699.6151688311688</v>
      </c>
      <c r="H284" s="18">
        <v>10460.102493506492</v>
      </c>
      <c r="I284" s="18">
        <v>6869.4428571428571</v>
      </c>
      <c r="J284" s="18">
        <v>0</v>
      </c>
      <c r="K284" s="18">
        <v>0</v>
      </c>
      <c r="L284" s="19">
        <f t="shared" si="12"/>
        <v>26146.889870129868</v>
      </c>
      <c r="M284" s="8"/>
      <c r="N284" s="262"/>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2"/>
    </row>
    <row r="286" spans="1:14" s="3" customFormat="1" ht="12.2" customHeight="1" x14ac:dyDescent="0.15">
      <c r="A286" s="1" t="s">
        <v>446</v>
      </c>
      <c r="B286" s="2" t="s">
        <v>357</v>
      </c>
      <c r="C286" s="2" t="s">
        <v>298</v>
      </c>
      <c r="D286" s="2" t="s">
        <v>431</v>
      </c>
      <c r="E286" s="6">
        <v>2500</v>
      </c>
      <c r="F286" s="18">
        <v>0</v>
      </c>
      <c r="G286" s="18">
        <v>0</v>
      </c>
      <c r="H286" s="18">
        <v>0</v>
      </c>
      <c r="I286" s="18">
        <v>41947.83772727273</v>
      </c>
      <c r="J286" s="18">
        <v>374.4220779220779</v>
      </c>
      <c r="K286" s="18">
        <v>0</v>
      </c>
      <c r="L286" s="19">
        <f t="shared" si="12"/>
        <v>42322.259805194808</v>
      </c>
      <c r="M286" s="8"/>
      <c r="N286" s="262"/>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2"/>
    </row>
    <row r="288" spans="1:14" s="3" customFormat="1" ht="12.2" customHeight="1" x14ac:dyDescent="0.15">
      <c r="A288" s="1" t="s">
        <v>448</v>
      </c>
      <c r="B288" s="2" t="s">
        <v>357</v>
      </c>
      <c r="C288" s="2" t="s">
        <v>300</v>
      </c>
      <c r="D288" s="2" t="s">
        <v>431</v>
      </c>
      <c r="E288" s="6">
        <v>2700</v>
      </c>
      <c r="F288" s="18">
        <v>0</v>
      </c>
      <c r="G288" s="18">
        <v>0</v>
      </c>
      <c r="H288" s="18">
        <v>0</v>
      </c>
      <c r="I288" s="18">
        <v>0</v>
      </c>
      <c r="J288" s="18">
        <v>120111.85454545454</v>
      </c>
      <c r="K288" s="18">
        <v>0</v>
      </c>
      <c r="L288" s="19">
        <f t="shared" si="12"/>
        <v>120111.85454545454</v>
      </c>
      <c r="M288" s="8"/>
      <c r="N288" s="262"/>
    </row>
    <row r="289" spans="1:14" s="3" customFormat="1" ht="12.2" customHeight="1" x14ac:dyDescent="0.15">
      <c r="A289" s="1" t="s">
        <v>449</v>
      </c>
      <c r="B289" s="2" t="s">
        <v>357</v>
      </c>
      <c r="C289" s="2" t="s">
        <v>343</v>
      </c>
      <c r="D289" s="2" t="s">
        <v>431</v>
      </c>
      <c r="E289" s="6">
        <v>2800</v>
      </c>
      <c r="F289" s="18">
        <v>0</v>
      </c>
      <c r="G289" s="18">
        <v>0</v>
      </c>
      <c r="H289" s="18">
        <v>515.94675324675325</v>
      </c>
      <c r="I289" s="18">
        <v>14657.58009090909</v>
      </c>
      <c r="J289" s="18">
        <v>58928.4152987013</v>
      </c>
      <c r="K289" s="18">
        <v>0</v>
      </c>
      <c r="L289" s="19">
        <f>SUM(F289:K289)</f>
        <v>74101.942142857151</v>
      </c>
      <c r="M289" s="8"/>
      <c r="N289" s="262"/>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2"/>
    </row>
    <row r="291" spans="1:14" s="3" customFormat="1" ht="12.2" customHeight="1" thickTop="1" x14ac:dyDescent="0.2">
      <c r="A291" s="38" t="s">
        <v>419</v>
      </c>
      <c r="B291" s="39" t="s">
        <v>357</v>
      </c>
      <c r="C291" s="39" t="s">
        <v>345</v>
      </c>
      <c r="D291" s="39" t="s">
        <v>431</v>
      </c>
      <c r="E291" s="39"/>
      <c r="F291" s="42">
        <f t="shared" ref="F291:L291" si="13">SUM(F277:F290)</f>
        <v>440520.60606493504</v>
      </c>
      <c r="G291" s="42">
        <f t="shared" si="13"/>
        <v>182047.35954545456</v>
      </c>
      <c r="H291" s="42">
        <f t="shared" si="13"/>
        <v>154656.89135064933</v>
      </c>
      <c r="I291" s="42">
        <f t="shared" si="13"/>
        <v>140118.37424675323</v>
      </c>
      <c r="J291" s="42">
        <f t="shared" si="13"/>
        <v>179764.64192207792</v>
      </c>
      <c r="K291" s="42">
        <f t="shared" si="13"/>
        <v>1085.4805194805194</v>
      </c>
      <c r="L291" s="41">
        <f t="shared" si="13"/>
        <v>1098193.3536493506</v>
      </c>
      <c r="M291" s="8"/>
      <c r="N291" s="262"/>
    </row>
    <row r="292" spans="1:14" s="3" customFormat="1" ht="12.2" customHeight="1" x14ac:dyDescent="0.2">
      <c r="A292" s="69"/>
      <c r="B292" s="36"/>
      <c r="C292" s="36"/>
      <c r="D292" s="36"/>
      <c r="E292" s="36"/>
      <c r="F292" s="53"/>
      <c r="G292" s="53"/>
      <c r="H292" s="53"/>
      <c r="I292" s="53"/>
      <c r="J292" s="53"/>
      <c r="K292" s="53"/>
      <c r="L292" s="66"/>
      <c r="M292" s="8"/>
      <c r="N292" s="262"/>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2"/>
    </row>
    <row r="294" spans="1:14" s="3" customFormat="1" ht="12.2" customHeight="1" x14ac:dyDescent="0.15">
      <c r="A294" s="29" t="s">
        <v>452</v>
      </c>
      <c r="B294" s="7"/>
      <c r="C294" s="7"/>
      <c r="D294" s="7"/>
      <c r="E294" s="7"/>
      <c r="F294" s="102" t="s">
        <v>54</v>
      </c>
      <c r="G294" s="102" t="s">
        <v>55</v>
      </c>
      <c r="H294" s="102" t="s">
        <v>56</v>
      </c>
      <c r="I294" s="102" t="s">
        <v>57</v>
      </c>
      <c r="J294" s="102" t="s">
        <v>58</v>
      </c>
      <c r="K294" s="102" t="s">
        <v>59</v>
      </c>
      <c r="L294" s="102" t="s">
        <v>5</v>
      </c>
      <c r="M294" s="8"/>
      <c r="N294" s="262"/>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2"/>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2"/>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2"/>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2"/>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2"/>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2"/>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2"/>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2"/>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2"/>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2"/>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2"/>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2"/>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2"/>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2"/>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0"/>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2"/>
    </row>
    <row r="311" spans="1:14" s="3" customFormat="1" ht="12.2" customHeight="1" x14ac:dyDescent="0.2">
      <c r="A311" s="69"/>
      <c r="B311" s="36"/>
      <c r="C311" s="37"/>
      <c r="D311" s="37"/>
      <c r="E311" s="37"/>
      <c r="F311" s="53"/>
      <c r="G311" s="53"/>
      <c r="H311" s="53"/>
      <c r="I311" s="53"/>
      <c r="J311" s="53"/>
      <c r="K311" s="53"/>
      <c r="L311" s="66"/>
      <c r="M311" s="8"/>
      <c r="N311" s="262"/>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2"/>
    </row>
    <row r="313" spans="1:14" s="3" customFormat="1" ht="12.2" customHeight="1" x14ac:dyDescent="0.15">
      <c r="A313" s="29" t="s">
        <v>453</v>
      </c>
      <c r="F313" s="102" t="s">
        <v>54</v>
      </c>
      <c r="G313" s="102" t="s">
        <v>55</v>
      </c>
      <c r="H313" s="102" t="s">
        <v>56</v>
      </c>
      <c r="I313" s="102" t="s">
        <v>57</v>
      </c>
      <c r="J313" s="102" t="s">
        <v>58</v>
      </c>
      <c r="K313" s="102" t="s">
        <v>59</v>
      </c>
      <c r="L313" s="102" t="s">
        <v>5</v>
      </c>
      <c r="M313" s="8"/>
      <c r="N313" s="262"/>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2"/>
    </row>
    <row r="315" spans="1:14" s="3" customFormat="1" ht="12.2" customHeight="1" x14ac:dyDescent="0.15">
      <c r="A315" s="1" t="s">
        <v>438</v>
      </c>
      <c r="B315" s="2" t="s">
        <v>359</v>
      </c>
      <c r="C315" s="2" t="s">
        <v>290</v>
      </c>
      <c r="D315" s="2" t="s">
        <v>431</v>
      </c>
      <c r="E315" s="6">
        <v>1100</v>
      </c>
      <c r="F315" s="18">
        <v>0</v>
      </c>
      <c r="G315" s="18">
        <v>0</v>
      </c>
      <c r="H315" s="18">
        <v>5215.9129220779223</v>
      </c>
      <c r="I315" s="18">
        <v>29698.026246753245</v>
      </c>
      <c r="J315" s="18">
        <v>0</v>
      </c>
      <c r="K315" s="18">
        <v>0</v>
      </c>
      <c r="L315" s="19">
        <f>SUM(F315:K315)</f>
        <v>34913.939168831166</v>
      </c>
      <c r="M315" s="8"/>
      <c r="N315" s="262"/>
    </row>
    <row r="316" spans="1:14" s="3" customFormat="1" ht="12.2" customHeight="1" x14ac:dyDescent="0.15">
      <c r="A316" s="1" t="s">
        <v>439</v>
      </c>
      <c r="B316" s="2" t="s">
        <v>359</v>
      </c>
      <c r="C316" s="2" t="s">
        <v>291</v>
      </c>
      <c r="D316" s="2" t="s">
        <v>431</v>
      </c>
      <c r="E316" s="6">
        <v>1200</v>
      </c>
      <c r="F316" s="18">
        <v>19442.387051948052</v>
      </c>
      <c r="G316" s="18">
        <v>10798.662272727272</v>
      </c>
      <c r="H316" s="18">
        <v>9498.9492727272718</v>
      </c>
      <c r="I316" s="18">
        <v>2239.3719999999998</v>
      </c>
      <c r="J316" s="18">
        <v>0</v>
      </c>
      <c r="K316" s="18">
        <v>494.51948051948051</v>
      </c>
      <c r="L316" s="19">
        <f>SUM(F316:K316)</f>
        <v>42473.890077922078</v>
      </c>
      <c r="M316" s="8"/>
      <c r="N316" s="262"/>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2"/>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2"/>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2"/>
    </row>
    <row r="320" spans="1:14" s="3" customFormat="1" ht="12.2" customHeight="1" x14ac:dyDescent="0.15">
      <c r="A320" s="1" t="s">
        <v>442</v>
      </c>
      <c r="B320" s="2" t="s">
        <v>359</v>
      </c>
      <c r="C320" s="2" t="s">
        <v>294</v>
      </c>
      <c r="D320" s="2" t="s">
        <v>431</v>
      </c>
      <c r="E320" s="6">
        <v>2100</v>
      </c>
      <c r="F320" s="18">
        <v>2741.7662337662337</v>
      </c>
      <c r="G320" s="18">
        <v>481.74335064935059</v>
      </c>
      <c r="H320" s="18">
        <v>47707.6057012987</v>
      </c>
      <c r="I320" s="18">
        <v>53.458181818181821</v>
      </c>
      <c r="J320" s="18">
        <v>0</v>
      </c>
      <c r="K320" s="18">
        <v>0</v>
      </c>
      <c r="L320" s="19">
        <f t="shared" ref="L320:L326" si="16">SUM(F320:K320)</f>
        <v>50984.573467532471</v>
      </c>
      <c r="M320" s="8"/>
      <c r="N320" s="262"/>
    </row>
    <row r="321" spans="1:14" s="3" customFormat="1" ht="12.2" customHeight="1" x14ac:dyDescent="0.15">
      <c r="A321" s="1" t="s">
        <v>443</v>
      </c>
      <c r="B321" s="2" t="s">
        <v>359</v>
      </c>
      <c r="C321" s="2" t="s">
        <v>295</v>
      </c>
      <c r="D321" s="2" t="s">
        <v>431</v>
      </c>
      <c r="E321" s="6">
        <v>2200</v>
      </c>
      <c r="F321" s="18">
        <v>3242.670649350649</v>
      </c>
      <c r="G321" s="18">
        <v>774.30483116883113</v>
      </c>
      <c r="H321" s="18">
        <v>4765.3775064935062</v>
      </c>
      <c r="I321" s="18">
        <v>3129.5571428571429</v>
      </c>
      <c r="J321" s="18">
        <v>0</v>
      </c>
      <c r="K321" s="18">
        <v>0</v>
      </c>
      <c r="L321" s="19">
        <f t="shared" si="16"/>
        <v>11911.910129870128</v>
      </c>
      <c r="M321" s="8"/>
      <c r="N321" s="262"/>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2"/>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2"/>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2"/>
    </row>
    <row r="325" spans="1:14" s="3" customFormat="1" ht="12.2" customHeight="1" x14ac:dyDescent="0.15">
      <c r="A325" s="1" t="s">
        <v>447</v>
      </c>
      <c r="B325" s="2" t="s">
        <v>359</v>
      </c>
      <c r="C325" s="2" t="s">
        <v>299</v>
      </c>
      <c r="D325" s="2" t="s">
        <v>431</v>
      </c>
      <c r="E325" s="6">
        <v>2600</v>
      </c>
      <c r="F325" s="18">
        <v>0</v>
      </c>
      <c r="G325" s="18">
        <v>0</v>
      </c>
      <c r="H325" s="18">
        <v>0</v>
      </c>
      <c r="I325" s="18">
        <v>19074.602272727272</v>
      </c>
      <c r="J325" s="18">
        <v>170.57792207792207</v>
      </c>
      <c r="K325" s="18">
        <v>0</v>
      </c>
      <c r="L325" s="19">
        <f t="shared" si="16"/>
        <v>19245.180194805194</v>
      </c>
      <c r="M325" s="8"/>
      <c r="N325" s="262"/>
    </row>
    <row r="326" spans="1:14" s="3" customFormat="1" ht="12.2" customHeight="1" x14ac:dyDescent="0.15">
      <c r="A326" s="1" t="s">
        <v>448</v>
      </c>
      <c r="B326" s="2" t="s">
        <v>359</v>
      </c>
      <c r="C326" s="2" t="s">
        <v>300</v>
      </c>
      <c r="D326" s="2" t="s">
        <v>431</v>
      </c>
      <c r="E326" s="6">
        <v>2700</v>
      </c>
      <c r="F326" s="18">
        <v>0</v>
      </c>
      <c r="G326" s="18">
        <v>0</v>
      </c>
      <c r="H326" s="18">
        <v>0</v>
      </c>
      <c r="I326" s="18">
        <v>0</v>
      </c>
      <c r="J326" s="18">
        <v>54720.145454545454</v>
      </c>
      <c r="K326" s="18">
        <v>0</v>
      </c>
      <c r="L326" s="19">
        <f t="shared" si="16"/>
        <v>54720.145454545454</v>
      </c>
      <c r="M326" s="8"/>
      <c r="N326" s="262"/>
    </row>
    <row r="327" spans="1:14" s="3" customFormat="1" ht="12.2" customHeight="1" x14ac:dyDescent="0.15">
      <c r="A327" s="1" t="s">
        <v>449</v>
      </c>
      <c r="B327" s="2" t="s">
        <v>359</v>
      </c>
      <c r="C327" s="2" t="s">
        <v>343</v>
      </c>
      <c r="D327" s="2" t="s">
        <v>431</v>
      </c>
      <c r="E327" s="6">
        <v>2800</v>
      </c>
      <c r="F327" s="18">
        <v>0</v>
      </c>
      <c r="G327" s="18">
        <v>0</v>
      </c>
      <c r="H327" s="18">
        <v>235.05324675324675</v>
      </c>
      <c r="I327" s="18">
        <v>6677.6499090909092</v>
      </c>
      <c r="J327" s="18">
        <v>26846.404701298703</v>
      </c>
      <c r="K327" s="18">
        <v>0</v>
      </c>
      <c r="L327" s="19">
        <f>SUM(F327:K327)</f>
        <v>33759.107857142859</v>
      </c>
      <c r="M327" s="8"/>
      <c r="N327" s="262"/>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2"/>
    </row>
    <row r="329" spans="1:14" s="3" customFormat="1" ht="12.2" customHeight="1" thickTop="1" x14ac:dyDescent="0.2">
      <c r="A329" s="38" t="s">
        <v>681</v>
      </c>
      <c r="B329" s="39" t="s">
        <v>359</v>
      </c>
      <c r="C329" s="40">
        <v>14</v>
      </c>
      <c r="D329" s="39" t="s">
        <v>431</v>
      </c>
      <c r="E329" s="40"/>
      <c r="F329" s="42">
        <f t="shared" ref="F329:L329" si="17">SUM(F315:F328)</f>
        <v>25426.823935064935</v>
      </c>
      <c r="G329" s="42">
        <f t="shared" si="17"/>
        <v>12054.710454545453</v>
      </c>
      <c r="H329" s="42">
        <f t="shared" si="17"/>
        <v>67422.898649350653</v>
      </c>
      <c r="I329" s="42">
        <f t="shared" si="17"/>
        <v>60872.665753246751</v>
      </c>
      <c r="J329" s="42">
        <f t="shared" si="17"/>
        <v>81737.128077922083</v>
      </c>
      <c r="K329" s="42">
        <f t="shared" si="17"/>
        <v>494.51948051948051</v>
      </c>
      <c r="L329" s="41">
        <f t="shared" si="17"/>
        <v>248008.74635064934</v>
      </c>
      <c r="M329" s="8"/>
      <c r="N329" s="262"/>
    </row>
    <row r="330" spans="1:14" s="3" customFormat="1" ht="12.2" customHeight="1" x14ac:dyDescent="0.2">
      <c r="A330" s="69"/>
      <c r="B330" s="36"/>
      <c r="C330" s="37"/>
      <c r="D330" s="37"/>
      <c r="E330" s="37"/>
      <c r="F330" s="53"/>
      <c r="G330" s="53"/>
      <c r="H330" s="53"/>
      <c r="I330" s="53"/>
      <c r="J330" s="53"/>
      <c r="K330" s="53"/>
      <c r="L330" s="66"/>
      <c r="M330" s="8"/>
      <c r="N330" s="262"/>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2"/>
    </row>
    <row r="332" spans="1:14" s="3" customFormat="1" ht="12.2" customHeight="1" x14ac:dyDescent="0.15">
      <c r="A332" s="29" t="s">
        <v>361</v>
      </c>
      <c r="F332" s="102" t="s">
        <v>54</v>
      </c>
      <c r="G332" s="102" t="s">
        <v>55</v>
      </c>
      <c r="H332" s="102" t="s">
        <v>56</v>
      </c>
      <c r="I332" s="102" t="s">
        <v>57</v>
      </c>
      <c r="J332" s="102" t="s">
        <v>58</v>
      </c>
      <c r="K332" s="102" t="s">
        <v>59</v>
      </c>
      <c r="L332" s="102" t="s">
        <v>5</v>
      </c>
      <c r="M332" s="8"/>
      <c r="N332" s="262"/>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2"/>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2"/>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2"/>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2"/>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2"/>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2"/>
    </row>
    <row r="339" spans="1:43" s="3" customFormat="1" ht="12.2" customHeight="1" thickTop="1" x14ac:dyDescent="0.15">
      <c r="A339" s="38" t="s">
        <v>468</v>
      </c>
      <c r="B339" s="40">
        <v>14</v>
      </c>
      <c r="C339" s="40">
        <v>7</v>
      </c>
      <c r="D339" s="39" t="s">
        <v>431</v>
      </c>
      <c r="E339" s="40"/>
      <c r="F339" s="41">
        <f t="shared" ref="F339:L339" si="20">F291+F310+F329+F338</f>
        <v>465947.43</v>
      </c>
      <c r="G339" s="41">
        <f t="shared" si="20"/>
        <v>194102.07</v>
      </c>
      <c r="H339" s="41">
        <f t="shared" si="20"/>
        <v>222079.78999999998</v>
      </c>
      <c r="I339" s="41">
        <f t="shared" si="20"/>
        <v>200991.03999999998</v>
      </c>
      <c r="J339" s="41">
        <f t="shared" si="20"/>
        <v>261501.77000000002</v>
      </c>
      <c r="K339" s="41">
        <f t="shared" si="20"/>
        <v>1580</v>
      </c>
      <c r="L339" s="41">
        <f t="shared" si="20"/>
        <v>1346202.0999999999</v>
      </c>
      <c r="M339" s="8"/>
      <c r="N339" s="262"/>
    </row>
    <row r="340" spans="1:43" s="3" customFormat="1" ht="12.2" customHeight="1" x14ac:dyDescent="0.15">
      <c r="A340" s="29" t="s">
        <v>354</v>
      </c>
      <c r="F340" s="18"/>
      <c r="G340" s="18"/>
      <c r="H340" s="18"/>
      <c r="I340" s="18"/>
      <c r="J340" s="18"/>
      <c r="K340" s="18"/>
      <c r="L340" s="19"/>
      <c r="M340" s="8"/>
      <c r="N340" s="262"/>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2"/>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2"/>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1"/>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2"/>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2"/>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2"/>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2"/>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2"/>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2"/>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2"/>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2"/>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1"/>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465947.43</v>
      </c>
      <c r="G353" s="41">
        <f>G339</f>
        <v>194102.07</v>
      </c>
      <c r="H353" s="41">
        <f>H339</f>
        <v>222079.78999999998</v>
      </c>
      <c r="I353" s="41">
        <f>I339</f>
        <v>200991.03999999998</v>
      </c>
      <c r="J353" s="41">
        <f>J339</f>
        <v>261501.77000000002</v>
      </c>
      <c r="K353" s="47">
        <f>K339+K352</f>
        <v>1580</v>
      </c>
      <c r="L353" s="41">
        <f>L339+L352</f>
        <v>1346202.0999999999</v>
      </c>
      <c r="M353" s="8"/>
      <c r="N353" s="262"/>
    </row>
    <row r="354" spans="1:22" s="3" customFormat="1" ht="12.2" customHeight="1" x14ac:dyDescent="0.15">
      <c r="A354" s="69"/>
      <c r="B354" s="37"/>
      <c r="C354" s="23"/>
      <c r="D354" s="23"/>
      <c r="E354" s="23"/>
      <c r="F354" s="66"/>
      <c r="G354" s="66"/>
      <c r="H354" s="66"/>
      <c r="I354" s="66"/>
      <c r="J354" s="66"/>
      <c r="K354" s="56"/>
      <c r="L354" s="66"/>
      <c r="M354" s="8"/>
      <c r="N354" s="262"/>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2"/>
    </row>
    <row r="356" spans="1:22" s="3" customFormat="1" ht="12.2" customHeight="1" x14ac:dyDescent="0.15">
      <c r="A356" s="29" t="s">
        <v>281</v>
      </c>
      <c r="F356" s="102" t="s">
        <v>54</v>
      </c>
      <c r="G356" s="102" t="s">
        <v>55</v>
      </c>
      <c r="H356" s="102" t="s">
        <v>56</v>
      </c>
      <c r="I356" s="102" t="s">
        <v>57</v>
      </c>
      <c r="J356" s="102" t="s">
        <v>58</v>
      </c>
      <c r="K356" s="102" t="s">
        <v>59</v>
      </c>
      <c r="L356" s="102" t="s">
        <v>5</v>
      </c>
      <c r="M356" s="8"/>
      <c r="N356" s="262"/>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2"/>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0"/>
      <c r="R358" s="3"/>
      <c r="S358" s="3"/>
      <c r="T358" s="3"/>
      <c r="U358" s="3"/>
      <c r="V358" s="3"/>
    </row>
    <row r="359" spans="1:22" s="3" customFormat="1" ht="12.2" customHeight="1" x14ac:dyDescent="0.15">
      <c r="A359" s="3" t="s">
        <v>541</v>
      </c>
      <c r="B359" s="2" t="s">
        <v>366</v>
      </c>
      <c r="C359" s="6">
        <v>1</v>
      </c>
      <c r="D359" s="2" t="s">
        <v>431</v>
      </c>
      <c r="E359" s="6"/>
      <c r="F359" s="18">
        <v>0</v>
      </c>
      <c r="G359" s="18">
        <v>0</v>
      </c>
      <c r="H359" s="18">
        <v>308557.60698701296</v>
      </c>
      <c r="I359" s="18">
        <v>0</v>
      </c>
      <c r="J359" s="18">
        <v>0</v>
      </c>
      <c r="K359" s="18">
        <v>0</v>
      </c>
      <c r="L359" s="13">
        <f>SUM(F359:K359)</f>
        <v>308557.60698701296</v>
      </c>
      <c r="M359" s="8"/>
      <c r="N359" s="262"/>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2"/>
    </row>
    <row r="361" spans="1:22" s="3" customFormat="1" ht="12.2" customHeight="1" x14ac:dyDescent="0.15">
      <c r="A361" s="3" t="s">
        <v>543</v>
      </c>
      <c r="B361" s="2" t="s">
        <v>366</v>
      </c>
      <c r="C361" s="6">
        <v>3</v>
      </c>
      <c r="D361" s="2" t="s">
        <v>431</v>
      </c>
      <c r="E361" s="6"/>
      <c r="F361" s="18">
        <v>0</v>
      </c>
      <c r="G361" s="18">
        <v>0</v>
      </c>
      <c r="H361" s="18">
        <v>140571.61301298701</v>
      </c>
      <c r="I361" s="18">
        <v>0</v>
      </c>
      <c r="J361" s="18">
        <v>0</v>
      </c>
      <c r="K361" s="18">
        <v>0</v>
      </c>
      <c r="L361" s="19">
        <f>SUM(F361:K361)</f>
        <v>140571.61301298701</v>
      </c>
      <c r="M361" s="8"/>
      <c r="N361" s="262"/>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2"/>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449129.22</v>
      </c>
      <c r="I363" s="47">
        <f t="shared" si="22"/>
        <v>0</v>
      </c>
      <c r="J363" s="47">
        <f t="shared" si="22"/>
        <v>0</v>
      </c>
      <c r="K363" s="47">
        <f t="shared" si="22"/>
        <v>0</v>
      </c>
      <c r="L363" s="47">
        <f t="shared" si="22"/>
        <v>449129.22</v>
      </c>
      <c r="M363" s="8"/>
      <c r="N363" s="262"/>
    </row>
    <row r="364" spans="1:22" s="3" customFormat="1" ht="12.2" customHeight="1" x14ac:dyDescent="0.15">
      <c r="A364" s="55"/>
      <c r="B364" s="36"/>
      <c r="C364" s="37"/>
      <c r="D364" s="37"/>
      <c r="E364" s="37"/>
      <c r="F364" s="56"/>
      <c r="G364" s="56"/>
      <c r="H364" s="56"/>
      <c r="I364" s="56"/>
      <c r="J364" s="56"/>
      <c r="K364" s="56"/>
      <c r="L364" s="56"/>
      <c r="M364" s="8"/>
      <c r="N364" s="262"/>
    </row>
    <row r="365" spans="1:22" s="3" customFormat="1" ht="12.2" customHeight="1" x14ac:dyDescent="0.15">
      <c r="A365" s="55" t="s">
        <v>369</v>
      </c>
      <c r="B365" s="36"/>
      <c r="C365" s="37"/>
      <c r="D365" s="37"/>
      <c r="E365" s="37"/>
      <c r="F365" s="56"/>
      <c r="G365" s="56"/>
      <c r="H365" s="56"/>
      <c r="I365" s="56"/>
      <c r="J365" s="56"/>
      <c r="K365" s="56"/>
      <c r="L365" s="56"/>
      <c r="M365" s="8"/>
      <c r="N365" s="262"/>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2"/>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2"/>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2"/>
    </row>
    <row r="369" spans="1:14" s="3" customFormat="1" ht="12.2" customHeight="1" thickBot="1" x14ac:dyDescent="0.2">
      <c r="A369" s="61" t="s">
        <v>372</v>
      </c>
      <c r="B369" s="62" t="s">
        <v>366</v>
      </c>
      <c r="C369" s="62" t="s">
        <v>296</v>
      </c>
      <c r="D369" s="2" t="s">
        <v>432</v>
      </c>
      <c r="E369" s="62"/>
      <c r="F369" s="18">
        <v>0</v>
      </c>
      <c r="G369" s="18">
        <v>0</v>
      </c>
      <c r="H369" s="18">
        <v>0</v>
      </c>
      <c r="I369" s="56">
        <f>SUM(F369:H369)</f>
        <v>0</v>
      </c>
      <c r="J369" s="24" t="s">
        <v>288</v>
      </c>
      <c r="K369" s="24" t="s">
        <v>288</v>
      </c>
      <c r="L369" s="24" t="s">
        <v>288</v>
      </c>
      <c r="M369" s="8"/>
      <c r="N369" s="262"/>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2"/>
    </row>
    <row r="371" spans="1:14" s="3" customFormat="1" ht="12.2" customHeight="1" x14ac:dyDescent="0.15">
      <c r="A371" s="34"/>
      <c r="B371" s="2"/>
      <c r="C371" s="2"/>
      <c r="D371" s="2"/>
      <c r="E371" s="2"/>
      <c r="F371" s="63"/>
      <c r="G371" s="63"/>
      <c r="H371" s="63"/>
      <c r="I371" s="56"/>
      <c r="J371" s="56"/>
      <c r="K371" s="56"/>
      <c r="L371" s="56"/>
      <c r="M371" s="8"/>
      <c r="N371" s="262"/>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2"/>
    </row>
    <row r="373" spans="1:14" s="3" customFormat="1" ht="12.2" customHeight="1" x14ac:dyDescent="0.15">
      <c r="A373" s="34" t="s">
        <v>363</v>
      </c>
      <c r="B373" s="2"/>
      <c r="C373" s="2"/>
      <c r="D373" s="2"/>
      <c r="E373" s="2"/>
      <c r="F373" s="102" t="s">
        <v>54</v>
      </c>
      <c r="G373" s="102" t="s">
        <v>55</v>
      </c>
      <c r="H373" s="102" t="s">
        <v>56</v>
      </c>
      <c r="I373" s="102" t="s">
        <v>57</v>
      </c>
      <c r="J373" s="102" t="s">
        <v>58</v>
      </c>
      <c r="K373" s="102" t="s">
        <v>59</v>
      </c>
      <c r="L373" s="102" t="s">
        <v>5</v>
      </c>
      <c r="M373" s="8"/>
      <c r="N373" s="262"/>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2"/>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2"/>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2"/>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2"/>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2"/>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2"/>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2"/>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2"/>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2"/>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0</v>
      </c>
      <c r="I383" s="41">
        <f t="shared" si="24"/>
        <v>0</v>
      </c>
      <c r="J383" s="47">
        <f t="shared" si="24"/>
        <v>0</v>
      </c>
      <c r="K383" s="47">
        <f t="shared" si="24"/>
        <v>0</v>
      </c>
      <c r="L383" s="47">
        <f t="shared" si="24"/>
        <v>0</v>
      </c>
      <c r="M383" s="8"/>
      <c r="N383" s="262"/>
    </row>
    <row r="384" spans="1:14" s="3" customFormat="1" ht="12.2" customHeight="1" x14ac:dyDescent="0.15">
      <c r="A384" s="29"/>
      <c r="B384" s="2"/>
      <c r="C384" s="2"/>
      <c r="D384" s="2"/>
      <c r="E384" s="2"/>
      <c r="F384" s="65"/>
      <c r="G384" s="65"/>
      <c r="H384" s="65"/>
      <c r="I384" s="66"/>
      <c r="J384" s="56"/>
      <c r="K384" s="56"/>
      <c r="L384" s="56"/>
      <c r="M384" s="8"/>
      <c r="N384" s="262"/>
    </row>
    <row r="385" spans="1:14" s="3" customFormat="1" ht="12.2" customHeight="1" x14ac:dyDescent="0.15">
      <c r="A385" s="26" t="s">
        <v>482</v>
      </c>
      <c r="B385" s="75"/>
      <c r="C385" s="75"/>
      <c r="D385" s="75"/>
      <c r="E385" s="75"/>
      <c r="F385" s="65"/>
      <c r="G385" s="65"/>
      <c r="H385" s="65"/>
      <c r="I385" s="66"/>
      <c r="J385" s="56"/>
      <c r="K385" s="56"/>
      <c r="L385" s="56"/>
      <c r="M385" s="8"/>
      <c r="N385" s="262"/>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2"/>
    </row>
    <row r="387" spans="1:14" s="3" customFormat="1" ht="12.2" customHeight="1" x14ac:dyDescent="0.15">
      <c r="A387" s="26" t="s">
        <v>376</v>
      </c>
      <c r="B387" s="2"/>
      <c r="C387" s="2"/>
      <c r="D387" s="2"/>
      <c r="F387" s="16" t="s">
        <v>377</v>
      </c>
      <c r="G387" s="16" t="s">
        <v>378</v>
      </c>
      <c r="H387" s="16" t="s">
        <v>379</v>
      </c>
      <c r="I387" s="16" t="s">
        <v>380</v>
      </c>
      <c r="J387" s="56"/>
      <c r="K387" s="56"/>
      <c r="L387" s="76" t="s">
        <v>340</v>
      </c>
      <c r="M387" s="8"/>
      <c r="N387" s="262"/>
    </row>
    <row r="388" spans="1:14" s="3" customFormat="1" ht="12.2" customHeight="1" x14ac:dyDescent="0.15">
      <c r="A388" s="78" t="s">
        <v>550</v>
      </c>
      <c r="B388" s="2" t="s">
        <v>381</v>
      </c>
      <c r="C388" s="6">
        <v>1</v>
      </c>
      <c r="D388" s="2" t="s">
        <v>432</v>
      </c>
      <c r="F388" s="18">
        <v>0</v>
      </c>
      <c r="G388" s="18">
        <v>0</v>
      </c>
      <c r="H388" s="18">
        <v>0</v>
      </c>
      <c r="I388" s="18">
        <v>0</v>
      </c>
      <c r="J388" s="24" t="s">
        <v>288</v>
      </c>
      <c r="K388" s="24" t="s">
        <v>288</v>
      </c>
      <c r="L388" s="56">
        <f t="shared" ref="L388:L393" si="25">SUM(F388:K388)</f>
        <v>0</v>
      </c>
      <c r="M388" s="8"/>
      <c r="N388" s="262"/>
    </row>
    <row r="389" spans="1:14" s="3" customFormat="1" ht="12.2" customHeight="1" x14ac:dyDescent="0.15">
      <c r="A389" s="78" t="s">
        <v>551</v>
      </c>
      <c r="B389" s="2" t="s">
        <v>381</v>
      </c>
      <c r="C389" s="6">
        <v>2</v>
      </c>
      <c r="D389" s="2" t="s">
        <v>432</v>
      </c>
      <c r="E389" s="6"/>
      <c r="F389" s="18">
        <v>0</v>
      </c>
      <c r="G389" s="18">
        <v>0</v>
      </c>
      <c r="H389" s="18">
        <v>0</v>
      </c>
      <c r="I389" s="18">
        <v>0</v>
      </c>
      <c r="J389" s="24" t="s">
        <v>288</v>
      </c>
      <c r="K389" s="24" t="s">
        <v>288</v>
      </c>
      <c r="L389" s="56">
        <f t="shared" si="25"/>
        <v>0</v>
      </c>
      <c r="M389" s="8"/>
      <c r="N389" s="262"/>
    </row>
    <row r="390" spans="1:14" s="3" customFormat="1" ht="12.2" customHeight="1" x14ac:dyDescent="0.15">
      <c r="A390" s="78" t="s">
        <v>552</v>
      </c>
      <c r="B390" s="2" t="s">
        <v>381</v>
      </c>
      <c r="C390" s="6">
        <v>3</v>
      </c>
      <c r="D390" s="2" t="s">
        <v>432</v>
      </c>
      <c r="E390" s="6"/>
      <c r="F390" s="18">
        <v>0</v>
      </c>
      <c r="G390" s="18">
        <v>0</v>
      </c>
      <c r="H390" s="18">
        <f>179.65+153</f>
        <v>332.65</v>
      </c>
      <c r="I390" s="18">
        <v>0</v>
      </c>
      <c r="J390" s="24" t="s">
        <v>288</v>
      </c>
      <c r="K390" s="24" t="s">
        <v>288</v>
      </c>
      <c r="L390" s="56">
        <f t="shared" si="25"/>
        <v>332.65</v>
      </c>
      <c r="M390" s="8"/>
      <c r="N390" s="262"/>
    </row>
    <row r="391" spans="1:14" s="3" customFormat="1" ht="12.2" customHeight="1" x14ac:dyDescent="0.15">
      <c r="A391" s="78" t="s">
        <v>553</v>
      </c>
      <c r="B391" s="2" t="s">
        <v>381</v>
      </c>
      <c r="C391" s="6">
        <v>4</v>
      </c>
      <c r="D391" s="2" t="s">
        <v>432</v>
      </c>
      <c r="E391" s="6"/>
      <c r="F391" s="18">
        <v>0</v>
      </c>
      <c r="G391" s="18">
        <v>50000</v>
      </c>
      <c r="H391" s="18">
        <v>204.95</v>
      </c>
      <c r="I391" s="18">
        <v>0</v>
      </c>
      <c r="J391" s="24" t="s">
        <v>288</v>
      </c>
      <c r="K391" s="24" t="s">
        <v>288</v>
      </c>
      <c r="L391" s="56">
        <f t="shared" si="25"/>
        <v>50204.95</v>
      </c>
      <c r="M391" s="8"/>
      <c r="N391" s="262"/>
    </row>
    <row r="392" spans="1:14" s="3" customFormat="1" ht="12.2" customHeight="1" x14ac:dyDescent="0.15">
      <c r="A392" s="78" t="s">
        <v>554</v>
      </c>
      <c r="B392" s="2" t="s">
        <v>381</v>
      </c>
      <c r="C392" s="6">
        <v>5</v>
      </c>
      <c r="D392" s="2" t="s">
        <v>432</v>
      </c>
      <c r="E392" s="6"/>
      <c r="F392" s="18">
        <v>0</v>
      </c>
      <c r="G392" s="18">
        <v>0</v>
      </c>
      <c r="H392" s="18">
        <v>0</v>
      </c>
      <c r="I392" s="18">
        <v>0</v>
      </c>
      <c r="J392" s="24" t="s">
        <v>288</v>
      </c>
      <c r="K392" s="24" t="s">
        <v>288</v>
      </c>
      <c r="L392" s="56">
        <f t="shared" si="25"/>
        <v>0</v>
      </c>
      <c r="M392" s="8"/>
      <c r="N392" s="262"/>
    </row>
    <row r="393" spans="1:14" s="3" customFormat="1" ht="12.2" customHeight="1" thickBot="1" x14ac:dyDescent="0.2">
      <c r="A393" s="78" t="s">
        <v>555</v>
      </c>
      <c r="B393" s="2" t="s">
        <v>381</v>
      </c>
      <c r="C393" s="6">
        <v>6</v>
      </c>
      <c r="D393" s="2" t="s">
        <v>432</v>
      </c>
      <c r="E393" s="6"/>
      <c r="F393" s="18">
        <v>0</v>
      </c>
      <c r="G393" s="18">
        <f>35000+50000</f>
        <v>85000</v>
      </c>
      <c r="H393" s="18">
        <f>24.94+42.54+18.86</f>
        <v>86.34</v>
      </c>
      <c r="I393" s="18">
        <v>0</v>
      </c>
      <c r="J393" s="24" t="s">
        <v>288</v>
      </c>
      <c r="K393" s="24" t="s">
        <v>288</v>
      </c>
      <c r="L393" s="56">
        <f t="shared" si="25"/>
        <v>85086.34</v>
      </c>
      <c r="M393" s="8"/>
      <c r="N393" s="262"/>
    </row>
    <row r="394" spans="1:14" s="3" customFormat="1" ht="12.2" customHeight="1" thickTop="1" x14ac:dyDescent="0.15">
      <c r="A394" s="158" t="s">
        <v>471</v>
      </c>
      <c r="B394" s="2" t="s">
        <v>381</v>
      </c>
      <c r="C394" s="6">
        <v>7</v>
      </c>
      <c r="D394" s="2" t="s">
        <v>432</v>
      </c>
      <c r="E394" s="40">
        <v>5251</v>
      </c>
      <c r="F394" s="138">
        <f>SUM(F388:F393)</f>
        <v>0</v>
      </c>
      <c r="G394" s="138">
        <f>SUM(G388:G393)</f>
        <v>135000</v>
      </c>
      <c r="H394" s="138">
        <f>SUM(H388:H393)</f>
        <v>623.93999999999994</v>
      </c>
      <c r="I394" s="64">
        <f>SUM(I388:I393)</f>
        <v>0</v>
      </c>
      <c r="J394" s="45" t="s">
        <v>288</v>
      </c>
      <c r="K394" s="45" t="s">
        <v>288</v>
      </c>
      <c r="L394" s="47">
        <f>SUM(L388:L393)</f>
        <v>135623.94</v>
      </c>
      <c r="M394" s="8"/>
      <c r="N394" s="262"/>
    </row>
    <row r="395" spans="1:14" s="3" customFormat="1" ht="12.2" customHeight="1" x14ac:dyDescent="0.15">
      <c r="A395" s="77" t="s">
        <v>382</v>
      </c>
      <c r="B395" s="2"/>
      <c r="C395" s="6"/>
      <c r="D395" s="6"/>
      <c r="F395" s="24" t="s">
        <v>288</v>
      </c>
      <c r="G395" s="24" t="s">
        <v>288</v>
      </c>
      <c r="H395" s="24" t="s">
        <v>288</v>
      </c>
      <c r="I395" s="24" t="s">
        <v>288</v>
      </c>
      <c r="J395" s="24" t="s">
        <v>288</v>
      </c>
      <c r="K395" s="24" t="s">
        <v>288</v>
      </c>
      <c r="L395" s="24" t="s">
        <v>288</v>
      </c>
      <c r="M395" s="8"/>
      <c r="N395" s="262"/>
    </row>
    <row r="396" spans="1:14" s="3" customFormat="1" ht="12.2" customHeight="1" x14ac:dyDescent="0.15">
      <c r="A396" s="78" t="s">
        <v>556</v>
      </c>
      <c r="B396" s="2" t="s">
        <v>381</v>
      </c>
      <c r="C396" s="6">
        <v>8</v>
      </c>
      <c r="D396" s="2" t="s">
        <v>432</v>
      </c>
      <c r="E396" s="6"/>
      <c r="F396" s="18">
        <v>0</v>
      </c>
      <c r="G396" s="18">
        <v>0</v>
      </c>
      <c r="H396" s="18">
        <f>165.02</f>
        <v>165.02</v>
      </c>
      <c r="I396" s="18">
        <v>0</v>
      </c>
      <c r="J396" s="24" t="s">
        <v>288</v>
      </c>
      <c r="K396" s="24" t="s">
        <v>288</v>
      </c>
      <c r="L396" s="56">
        <f t="shared" ref="L396:L401" si="26">SUM(F396:K396)</f>
        <v>165.02</v>
      </c>
      <c r="M396" s="8"/>
      <c r="N396" s="262"/>
    </row>
    <row r="397" spans="1:14" s="3" customFormat="1" ht="12.2" customHeight="1" x14ac:dyDescent="0.15">
      <c r="A397" s="78" t="s">
        <v>557</v>
      </c>
      <c r="B397" s="2" t="s">
        <v>381</v>
      </c>
      <c r="C397" s="6">
        <v>9</v>
      </c>
      <c r="D397" s="2" t="s">
        <v>432</v>
      </c>
      <c r="E397" s="6"/>
      <c r="F397" s="18">
        <v>0</v>
      </c>
      <c r="G397" s="18">
        <v>0</v>
      </c>
      <c r="H397" s="18">
        <f>703.71</f>
        <v>703.71</v>
      </c>
      <c r="I397" s="18">
        <v>0</v>
      </c>
      <c r="J397" s="24" t="s">
        <v>288</v>
      </c>
      <c r="K397" s="24" t="s">
        <v>288</v>
      </c>
      <c r="L397" s="56">
        <f t="shared" si="26"/>
        <v>703.71</v>
      </c>
      <c r="M397" s="8"/>
      <c r="N397" s="262"/>
    </row>
    <row r="398" spans="1:14" s="3" customFormat="1" ht="12.2" customHeight="1" x14ac:dyDescent="0.15">
      <c r="A398" s="78" t="s">
        <v>515</v>
      </c>
      <c r="B398" s="2" t="s">
        <v>381</v>
      </c>
      <c r="C398" s="6">
        <v>10</v>
      </c>
      <c r="D398" s="2" t="s">
        <v>432</v>
      </c>
      <c r="E398" s="6"/>
      <c r="F398" s="18">
        <v>0</v>
      </c>
      <c r="G398" s="18">
        <v>50000</v>
      </c>
      <c r="H398" s="18">
        <f>276.93</f>
        <v>276.93</v>
      </c>
      <c r="I398" s="18">
        <v>0</v>
      </c>
      <c r="J398" s="24" t="s">
        <v>288</v>
      </c>
      <c r="K398" s="24" t="s">
        <v>288</v>
      </c>
      <c r="L398" s="56">
        <f t="shared" si="26"/>
        <v>50276.93</v>
      </c>
      <c r="M398" s="8"/>
      <c r="N398" s="262"/>
    </row>
    <row r="399" spans="1:14" s="3" customFormat="1" ht="12.2" customHeight="1" x14ac:dyDescent="0.15">
      <c r="A399" s="78" t="s">
        <v>558</v>
      </c>
      <c r="B399" s="2" t="s">
        <v>381</v>
      </c>
      <c r="C399" s="6">
        <v>11</v>
      </c>
      <c r="D399" s="2" t="s">
        <v>432</v>
      </c>
      <c r="E399" s="6"/>
      <c r="F399" s="18">
        <v>0</v>
      </c>
      <c r="G399" s="18">
        <v>0</v>
      </c>
      <c r="H399" s="18">
        <v>0</v>
      </c>
      <c r="I399" s="18">
        <v>0</v>
      </c>
      <c r="J399" s="24" t="s">
        <v>288</v>
      </c>
      <c r="K399" s="24" t="s">
        <v>288</v>
      </c>
      <c r="L399" s="56">
        <f t="shared" si="26"/>
        <v>0</v>
      </c>
      <c r="M399" s="8"/>
      <c r="N399" s="262"/>
    </row>
    <row r="400" spans="1:14" s="3" customFormat="1" ht="12.2" customHeight="1" x14ac:dyDescent="0.15">
      <c r="A400" s="78" t="s">
        <v>559</v>
      </c>
      <c r="B400" s="2" t="s">
        <v>381</v>
      </c>
      <c r="C400" s="6">
        <v>12</v>
      </c>
      <c r="D400" s="2" t="s">
        <v>432</v>
      </c>
      <c r="E400" s="6"/>
      <c r="F400" s="18">
        <v>0</v>
      </c>
      <c r="G400" s="18">
        <v>0</v>
      </c>
      <c r="H400" s="18">
        <v>190.79</v>
      </c>
      <c r="I400" s="18">
        <v>0</v>
      </c>
      <c r="J400" s="24" t="s">
        <v>288</v>
      </c>
      <c r="K400" s="24" t="s">
        <v>288</v>
      </c>
      <c r="L400" s="56">
        <f t="shared" si="26"/>
        <v>190.79</v>
      </c>
      <c r="M400" s="8"/>
      <c r="N400" s="262"/>
    </row>
    <row r="401" spans="1:21" s="3" customFormat="1" ht="12.2" customHeight="1" thickBot="1" x14ac:dyDescent="0.2">
      <c r="A401" s="78" t="s">
        <v>510</v>
      </c>
      <c r="B401" s="2" t="s">
        <v>381</v>
      </c>
      <c r="C401" s="6">
        <v>13</v>
      </c>
      <c r="D401" s="2" t="s">
        <v>432</v>
      </c>
      <c r="E401" s="6"/>
      <c r="F401" s="18">
        <v>0</v>
      </c>
      <c r="G401" s="18">
        <v>0</v>
      </c>
      <c r="H401" s="18">
        <f>15.22+27.81</f>
        <v>43.03</v>
      </c>
      <c r="I401" s="18">
        <v>0</v>
      </c>
      <c r="J401" s="24" t="s">
        <v>288</v>
      </c>
      <c r="K401" s="24" t="s">
        <v>288</v>
      </c>
      <c r="L401" s="56">
        <f t="shared" si="26"/>
        <v>43.03</v>
      </c>
      <c r="M401" s="8"/>
      <c r="N401" s="262"/>
    </row>
    <row r="402" spans="1:21" s="3" customFormat="1" ht="12.2" customHeight="1" thickTop="1" x14ac:dyDescent="0.15">
      <c r="A402" s="158" t="s">
        <v>470</v>
      </c>
      <c r="B402" s="2" t="s">
        <v>381</v>
      </c>
      <c r="C402" s="6">
        <v>14</v>
      </c>
      <c r="D402" s="2" t="s">
        <v>432</v>
      </c>
      <c r="E402" s="40">
        <v>5252</v>
      </c>
      <c r="F402" s="47">
        <f>SUM(F396:F401)</f>
        <v>0</v>
      </c>
      <c r="G402" s="47">
        <f>SUM(G396:G401)</f>
        <v>50000</v>
      </c>
      <c r="H402" s="47">
        <f>SUM(H396:H401)</f>
        <v>1379.48</v>
      </c>
      <c r="I402" s="47">
        <f>SUM(I396:I401)</f>
        <v>0</v>
      </c>
      <c r="J402" s="45" t="s">
        <v>288</v>
      </c>
      <c r="K402" s="45" t="s">
        <v>288</v>
      </c>
      <c r="L402" s="47">
        <f>SUM(L396:L401)</f>
        <v>51379.48</v>
      </c>
      <c r="M402" s="8"/>
      <c r="N402" s="262"/>
    </row>
    <row r="403" spans="1:21" s="3" customFormat="1" ht="12.2" customHeight="1" x14ac:dyDescent="0.15">
      <c r="A403" s="77" t="s">
        <v>383</v>
      </c>
      <c r="B403" s="2"/>
      <c r="C403" s="2"/>
      <c r="D403" s="2"/>
      <c r="F403" s="24" t="s">
        <v>288</v>
      </c>
      <c r="G403" s="24" t="s">
        <v>288</v>
      </c>
      <c r="H403" s="24" t="s">
        <v>288</v>
      </c>
      <c r="I403" s="24" t="s">
        <v>288</v>
      </c>
      <c r="J403" s="24" t="s">
        <v>288</v>
      </c>
      <c r="K403" s="24" t="s">
        <v>288</v>
      </c>
      <c r="L403" s="24" t="s">
        <v>288</v>
      </c>
      <c r="M403" s="8"/>
      <c r="N403" s="262"/>
    </row>
    <row r="404" spans="1:21" s="3" customFormat="1" ht="12.2" customHeight="1" x14ac:dyDescent="0.15">
      <c r="A404" s="109"/>
      <c r="B404" s="2" t="s">
        <v>381</v>
      </c>
      <c r="C404" s="6">
        <v>15</v>
      </c>
      <c r="D404" s="2" t="s">
        <v>432</v>
      </c>
      <c r="E404" s="6"/>
      <c r="F404" s="18">
        <v>0</v>
      </c>
      <c r="G404" s="18">
        <v>0</v>
      </c>
      <c r="H404" s="18">
        <v>0</v>
      </c>
      <c r="I404" s="18">
        <v>0</v>
      </c>
      <c r="J404" s="24" t="s">
        <v>288</v>
      </c>
      <c r="K404" s="24" t="s">
        <v>288</v>
      </c>
      <c r="L404" s="56">
        <f>SUM(F404:K404)</f>
        <v>0</v>
      </c>
      <c r="M404" s="8"/>
      <c r="N404" s="262"/>
    </row>
    <row r="405" spans="1:21" s="3" customFormat="1" ht="12.2" customHeight="1" x14ac:dyDescent="0.15">
      <c r="A405" s="109"/>
      <c r="B405" s="2" t="s">
        <v>381</v>
      </c>
      <c r="C405" s="6">
        <v>16</v>
      </c>
      <c r="D405" s="2" t="s">
        <v>432</v>
      </c>
      <c r="E405" s="6"/>
      <c r="F405" s="18">
        <v>0</v>
      </c>
      <c r="G405" s="18">
        <v>0</v>
      </c>
      <c r="H405" s="18">
        <v>0</v>
      </c>
      <c r="I405" s="18">
        <v>0</v>
      </c>
      <c r="J405" s="24" t="s">
        <v>288</v>
      </c>
      <c r="K405" s="24" t="s">
        <v>288</v>
      </c>
      <c r="L405" s="56">
        <f>SUM(F405:K405)</f>
        <v>0</v>
      </c>
      <c r="M405" s="8"/>
      <c r="N405" s="262"/>
    </row>
    <row r="406" spans="1:21" s="3" customFormat="1" ht="12.2" customHeight="1" x14ac:dyDescent="0.15">
      <c r="A406" s="109"/>
      <c r="B406" s="2" t="s">
        <v>381</v>
      </c>
      <c r="C406" s="6">
        <v>17</v>
      </c>
      <c r="D406" s="2" t="s">
        <v>432</v>
      </c>
      <c r="E406" s="6"/>
      <c r="F406" s="18">
        <v>0</v>
      </c>
      <c r="G406" s="18">
        <v>0</v>
      </c>
      <c r="H406" s="18">
        <v>0</v>
      </c>
      <c r="I406" s="18">
        <v>0</v>
      </c>
      <c r="J406" s="24" t="s">
        <v>288</v>
      </c>
      <c r="K406" s="24" t="s">
        <v>288</v>
      </c>
      <c r="L406" s="56">
        <f>SUM(F406:K406)</f>
        <v>0</v>
      </c>
      <c r="M406" s="8"/>
      <c r="N406" s="262"/>
    </row>
    <row r="407" spans="1:21" s="3" customFormat="1" ht="12.2" customHeight="1" thickBot="1" x14ac:dyDescent="0.2">
      <c r="A407" s="109"/>
      <c r="B407" s="2" t="s">
        <v>381</v>
      </c>
      <c r="C407" s="6">
        <v>18</v>
      </c>
      <c r="D407" s="2" t="s">
        <v>432</v>
      </c>
      <c r="E407" s="6"/>
      <c r="F407" s="18">
        <v>0</v>
      </c>
      <c r="G407" s="18">
        <v>0</v>
      </c>
      <c r="H407" s="18">
        <v>0</v>
      </c>
      <c r="I407" s="18">
        <v>0</v>
      </c>
      <c r="J407" s="24" t="s">
        <v>288</v>
      </c>
      <c r="K407" s="24" t="s">
        <v>288</v>
      </c>
      <c r="L407" s="56">
        <f>SUM(F407:K407)</f>
        <v>0</v>
      </c>
      <c r="M407" s="8"/>
      <c r="N407" s="262"/>
    </row>
    <row r="408" spans="1:21" s="3" customFormat="1" ht="12.2" customHeight="1" thickTop="1" thickBot="1" x14ac:dyDescent="0.2">
      <c r="A408" s="158"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2"/>
    </row>
    <row r="409" spans="1:21" s="3" customFormat="1" ht="12.2" customHeight="1" thickTop="1" x14ac:dyDescent="0.15">
      <c r="A409" s="77" t="s">
        <v>421</v>
      </c>
      <c r="B409" s="2" t="s">
        <v>381</v>
      </c>
      <c r="C409" s="6">
        <v>20</v>
      </c>
      <c r="D409" s="6"/>
      <c r="E409" s="40"/>
      <c r="F409" s="47">
        <f>F394+F402+F408</f>
        <v>0</v>
      </c>
      <c r="G409" s="47">
        <f>G394+G402+G408</f>
        <v>185000</v>
      </c>
      <c r="H409" s="47">
        <f>H394+H402+H408</f>
        <v>2003.42</v>
      </c>
      <c r="I409" s="47">
        <f>I394+I402+I408</f>
        <v>0</v>
      </c>
      <c r="J409" s="24" t="s">
        <v>288</v>
      </c>
      <c r="K409" s="24" t="s">
        <v>288</v>
      </c>
      <c r="L409" s="47">
        <f>L394+L402+L408</f>
        <v>187003.42</v>
      </c>
      <c r="M409" s="8"/>
      <c r="N409" s="262"/>
    </row>
    <row r="410" spans="1:21" s="3" customFormat="1" ht="12.2" customHeight="1" x14ac:dyDescent="0.15">
      <c r="A410" s="77"/>
      <c r="B410" s="2"/>
      <c r="C410" s="6"/>
      <c r="D410" s="6"/>
      <c r="E410" s="6"/>
      <c r="F410" s="175" t="s">
        <v>689</v>
      </c>
      <c r="G410" s="175" t="s">
        <v>690</v>
      </c>
      <c r="H410" s="175" t="s">
        <v>691</v>
      </c>
      <c r="I410" s="175" t="s">
        <v>692</v>
      </c>
      <c r="J410" s="175" t="s">
        <v>693</v>
      </c>
      <c r="K410" s="175" t="s">
        <v>694</v>
      </c>
      <c r="L410" s="56"/>
      <c r="M410" s="8"/>
      <c r="N410" s="262"/>
    </row>
    <row r="411" spans="1:21" s="3" customFormat="1" ht="12.2" customHeight="1" x14ac:dyDescent="0.15">
      <c r="A411" s="26" t="s">
        <v>482</v>
      </c>
      <c r="B411" s="75"/>
      <c r="C411" s="75"/>
      <c r="D411" s="75"/>
      <c r="E411" s="75"/>
      <c r="F411" s="65"/>
      <c r="G411" s="16" t="s">
        <v>384</v>
      </c>
      <c r="H411" s="16" t="s">
        <v>385</v>
      </c>
      <c r="I411" s="66"/>
      <c r="J411" s="56"/>
      <c r="K411" s="56"/>
      <c r="L411" s="56"/>
      <c r="M411" s="8"/>
      <c r="N411" s="262"/>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6" t="s">
        <v>340</v>
      </c>
      <c r="M412" s="8"/>
      <c r="N412" s="262"/>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2"/>
    </row>
    <row r="414" spans="1:21" s="12" customFormat="1" ht="12.2" customHeight="1" thickBot="1" x14ac:dyDescent="0.25">
      <c r="A414" s="78" t="s">
        <v>550</v>
      </c>
      <c r="B414" s="6">
        <v>17</v>
      </c>
      <c r="C414" s="6">
        <v>1</v>
      </c>
      <c r="D414" s="2" t="s">
        <v>432</v>
      </c>
      <c r="E414" s="6"/>
      <c r="F414" s="18">
        <v>0</v>
      </c>
      <c r="G414" s="18">
        <v>0</v>
      </c>
      <c r="H414" s="18">
        <v>0</v>
      </c>
      <c r="I414" s="18">
        <v>0</v>
      </c>
      <c r="J414" s="18">
        <v>0</v>
      </c>
      <c r="K414" s="18">
        <v>0</v>
      </c>
      <c r="L414" s="56">
        <f t="shared" ref="L414:L419" si="27">SUM(F414:K414)</f>
        <v>0</v>
      </c>
      <c r="M414" s="52"/>
      <c r="N414" s="261"/>
      <c r="O414" s="52"/>
      <c r="P414" s="52"/>
      <c r="Q414" s="52"/>
      <c r="R414" s="52"/>
      <c r="S414" s="52"/>
      <c r="T414" s="52"/>
      <c r="U414" s="52"/>
    </row>
    <row r="415" spans="1:21" s="3" customFormat="1" ht="12.2" customHeight="1" x14ac:dyDescent="0.15">
      <c r="A415" s="78" t="s">
        <v>551</v>
      </c>
      <c r="B415" s="6">
        <v>17</v>
      </c>
      <c r="C415" s="6">
        <v>2</v>
      </c>
      <c r="D415" s="2" t="s">
        <v>432</v>
      </c>
      <c r="E415" s="6"/>
      <c r="F415" s="18">
        <v>0</v>
      </c>
      <c r="G415" s="18">
        <v>0</v>
      </c>
      <c r="H415" s="18">
        <v>0</v>
      </c>
      <c r="I415" s="18">
        <v>0</v>
      </c>
      <c r="J415" s="18">
        <v>0</v>
      </c>
      <c r="K415" s="18">
        <v>0</v>
      </c>
      <c r="L415" s="56">
        <f t="shared" si="27"/>
        <v>0</v>
      </c>
      <c r="M415" s="58"/>
      <c r="N415" s="225"/>
      <c r="O415" s="58"/>
      <c r="P415" s="58"/>
      <c r="Q415" s="58"/>
      <c r="R415" s="58"/>
      <c r="S415" s="58"/>
      <c r="T415" s="58"/>
      <c r="U415" s="58"/>
    </row>
    <row r="416" spans="1:21" s="3" customFormat="1" ht="12.2" customHeight="1" x14ac:dyDescent="0.15">
      <c r="A416" s="78" t="s">
        <v>552</v>
      </c>
      <c r="B416" s="6">
        <v>17</v>
      </c>
      <c r="C416" s="6">
        <v>3</v>
      </c>
      <c r="D416" s="2" t="s">
        <v>432</v>
      </c>
      <c r="E416" s="6"/>
      <c r="F416" s="18">
        <v>0</v>
      </c>
      <c r="G416" s="18">
        <v>0</v>
      </c>
      <c r="H416" s="18">
        <v>0</v>
      </c>
      <c r="I416" s="18">
        <v>0</v>
      </c>
      <c r="J416" s="18">
        <v>0</v>
      </c>
      <c r="K416" s="18">
        <f>65000+5800+127650</f>
        <v>198450</v>
      </c>
      <c r="L416" s="56">
        <f t="shared" si="27"/>
        <v>198450</v>
      </c>
      <c r="M416" s="8"/>
      <c r="N416" s="262"/>
    </row>
    <row r="417" spans="1:21" s="3" customFormat="1" ht="12.2" customHeight="1" x14ac:dyDescent="0.15">
      <c r="A417" s="78" t="s">
        <v>553</v>
      </c>
      <c r="B417" s="6">
        <v>17</v>
      </c>
      <c r="C417" s="6">
        <v>4</v>
      </c>
      <c r="D417" s="2" t="s">
        <v>432</v>
      </c>
      <c r="E417" s="6"/>
      <c r="F417" s="18">
        <v>0</v>
      </c>
      <c r="G417" s="18">
        <v>0</v>
      </c>
      <c r="H417" s="18">
        <v>0</v>
      </c>
      <c r="I417" s="18">
        <v>0</v>
      </c>
      <c r="J417" s="18">
        <v>0</v>
      </c>
      <c r="K417" s="18">
        <v>0</v>
      </c>
      <c r="L417" s="56">
        <f t="shared" si="27"/>
        <v>0</v>
      </c>
      <c r="M417" s="8"/>
      <c r="N417" s="262"/>
    </row>
    <row r="418" spans="1:21" s="3" customFormat="1" ht="12.2" customHeight="1" x14ac:dyDescent="0.15">
      <c r="A418" s="78" t="s">
        <v>554</v>
      </c>
      <c r="B418" s="6">
        <v>17</v>
      </c>
      <c r="C418" s="6">
        <v>5</v>
      </c>
      <c r="D418" s="2" t="s">
        <v>432</v>
      </c>
      <c r="E418" s="6"/>
      <c r="F418" s="18">
        <v>0</v>
      </c>
      <c r="G418" s="18">
        <v>0</v>
      </c>
      <c r="H418" s="18">
        <v>0</v>
      </c>
      <c r="I418" s="18">
        <v>0</v>
      </c>
      <c r="J418" s="18">
        <v>0</v>
      </c>
      <c r="K418" s="18">
        <v>0</v>
      </c>
      <c r="L418" s="56">
        <f t="shared" si="27"/>
        <v>0</v>
      </c>
      <c r="M418" s="8"/>
      <c r="N418" s="262"/>
    </row>
    <row r="419" spans="1:21" s="3" customFormat="1" ht="12.2" customHeight="1" thickBot="1" x14ac:dyDescent="0.2">
      <c r="A419" s="78" t="s">
        <v>555</v>
      </c>
      <c r="B419" s="6">
        <v>17</v>
      </c>
      <c r="C419" s="6">
        <v>6</v>
      </c>
      <c r="D419" s="2" t="s">
        <v>432</v>
      </c>
      <c r="E419" s="6"/>
      <c r="F419" s="18">
        <v>0</v>
      </c>
      <c r="G419" s="18">
        <v>0</v>
      </c>
      <c r="H419" s="18">
        <v>0</v>
      </c>
      <c r="I419" s="18">
        <v>0</v>
      </c>
      <c r="J419" s="18">
        <v>0</v>
      </c>
      <c r="K419" s="18">
        <v>0</v>
      </c>
      <c r="L419" s="56">
        <f t="shared" si="27"/>
        <v>0</v>
      </c>
      <c r="M419" s="8"/>
      <c r="N419" s="262"/>
    </row>
    <row r="420" spans="1:21" s="3" customFormat="1" ht="12.2" customHeight="1" thickTop="1" x14ac:dyDescent="0.15">
      <c r="A420" s="158"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198450</v>
      </c>
      <c r="L420" s="47">
        <f t="shared" si="28"/>
        <v>198450</v>
      </c>
      <c r="M420" s="8"/>
      <c r="N420" s="262"/>
    </row>
    <row r="421" spans="1:21" s="3" customFormat="1" ht="12.2" customHeight="1" x14ac:dyDescent="0.15">
      <c r="A421" s="77" t="s">
        <v>382</v>
      </c>
      <c r="B421" s="2"/>
      <c r="C421" s="6"/>
      <c r="D421" s="6"/>
      <c r="F421" s="24" t="s">
        <v>288</v>
      </c>
      <c r="G421" s="24" t="s">
        <v>288</v>
      </c>
      <c r="H421" s="24" t="s">
        <v>288</v>
      </c>
      <c r="I421" s="24" t="s">
        <v>288</v>
      </c>
      <c r="J421" s="24" t="s">
        <v>288</v>
      </c>
      <c r="K421" s="24" t="s">
        <v>288</v>
      </c>
      <c r="L421" s="24" t="s">
        <v>288</v>
      </c>
      <c r="M421" s="8"/>
      <c r="N421" s="262"/>
    </row>
    <row r="422" spans="1:21" s="3" customFormat="1" ht="12.2" customHeight="1" x14ac:dyDescent="0.15">
      <c r="A422" s="78" t="s">
        <v>556</v>
      </c>
      <c r="B422" s="6">
        <v>17</v>
      </c>
      <c r="C422" s="6">
        <v>8</v>
      </c>
      <c r="D422" s="2" t="s">
        <v>432</v>
      </c>
      <c r="E422" s="6"/>
      <c r="F422" s="18">
        <v>0</v>
      </c>
      <c r="G422" s="18">
        <v>0</v>
      </c>
      <c r="H422" s="18">
        <v>0</v>
      </c>
      <c r="I422" s="18">
        <v>0</v>
      </c>
      <c r="J422" s="18">
        <v>0</v>
      </c>
      <c r="K422" s="18">
        <v>0</v>
      </c>
      <c r="L422" s="56">
        <f t="shared" ref="L422:L427" si="29">SUM(F422:K422)</f>
        <v>0</v>
      </c>
      <c r="M422" s="8"/>
      <c r="N422" s="262"/>
    </row>
    <row r="423" spans="1:21" s="3" customFormat="1" ht="12.2" customHeight="1" x14ac:dyDescent="0.15">
      <c r="A423" s="78" t="s">
        <v>557</v>
      </c>
      <c r="B423" s="6">
        <v>17</v>
      </c>
      <c r="C423" s="6">
        <v>9</v>
      </c>
      <c r="D423" s="2" t="s">
        <v>432</v>
      </c>
      <c r="E423" s="6"/>
      <c r="F423" s="18">
        <v>0</v>
      </c>
      <c r="G423" s="18">
        <v>0</v>
      </c>
      <c r="H423" s="18">
        <v>0</v>
      </c>
      <c r="I423" s="18">
        <v>0</v>
      </c>
      <c r="J423" s="18">
        <v>0</v>
      </c>
      <c r="K423" s="18">
        <v>0</v>
      </c>
      <c r="L423" s="56">
        <f t="shared" si="29"/>
        <v>0</v>
      </c>
      <c r="M423" s="8"/>
      <c r="N423" s="262"/>
    </row>
    <row r="424" spans="1:21" s="3" customFormat="1" ht="12.2" customHeight="1" x14ac:dyDescent="0.15">
      <c r="A424" s="78" t="s">
        <v>515</v>
      </c>
      <c r="B424" s="6">
        <v>17</v>
      </c>
      <c r="C424" s="6">
        <v>10</v>
      </c>
      <c r="D424" s="2" t="s">
        <v>432</v>
      </c>
      <c r="E424" s="6"/>
      <c r="F424" s="18">
        <v>0</v>
      </c>
      <c r="G424" s="18">
        <v>0</v>
      </c>
      <c r="H424" s="18">
        <v>0</v>
      </c>
      <c r="I424" s="18">
        <v>0</v>
      </c>
      <c r="J424" s="18">
        <v>0</v>
      </c>
      <c r="K424" s="18">
        <v>0</v>
      </c>
      <c r="L424" s="56">
        <f t="shared" si="29"/>
        <v>0</v>
      </c>
      <c r="M424" s="8"/>
      <c r="N424" s="262"/>
    </row>
    <row r="425" spans="1:21" s="3" customFormat="1" ht="12.2" customHeight="1" x14ac:dyDescent="0.15">
      <c r="A425" s="78" t="s">
        <v>558</v>
      </c>
      <c r="B425" s="6">
        <v>17</v>
      </c>
      <c r="C425" s="6">
        <v>11</v>
      </c>
      <c r="D425" s="2" t="s">
        <v>432</v>
      </c>
      <c r="E425" s="6"/>
      <c r="F425" s="18">
        <v>0</v>
      </c>
      <c r="G425" s="18">
        <v>0</v>
      </c>
      <c r="H425" s="18">
        <v>0</v>
      </c>
      <c r="I425" s="18">
        <v>0</v>
      </c>
      <c r="J425" s="18">
        <v>0</v>
      </c>
      <c r="K425" s="18">
        <v>0</v>
      </c>
      <c r="L425" s="56">
        <f t="shared" si="29"/>
        <v>0</v>
      </c>
      <c r="M425" s="8"/>
      <c r="N425" s="262"/>
    </row>
    <row r="426" spans="1:21" s="3" customFormat="1" ht="12.2" customHeight="1" x14ac:dyDescent="0.15">
      <c r="A426" s="78" t="s">
        <v>559</v>
      </c>
      <c r="B426" s="6">
        <v>17</v>
      </c>
      <c r="C426" s="6">
        <v>12</v>
      </c>
      <c r="D426" s="2" t="s">
        <v>432</v>
      </c>
      <c r="E426" s="6"/>
      <c r="F426" s="18">
        <v>0</v>
      </c>
      <c r="G426" s="18">
        <v>0</v>
      </c>
      <c r="H426" s="18">
        <v>0</v>
      </c>
      <c r="I426" s="18">
        <v>0</v>
      </c>
      <c r="J426" s="18">
        <v>0</v>
      </c>
      <c r="K426" s="18">
        <v>0</v>
      </c>
      <c r="L426" s="56">
        <f t="shared" si="29"/>
        <v>0</v>
      </c>
      <c r="M426" s="8"/>
      <c r="N426" s="262"/>
    </row>
    <row r="427" spans="1:21" s="3" customFormat="1" ht="12.2" customHeight="1" thickBot="1" x14ac:dyDescent="0.2">
      <c r="A427" s="78" t="s">
        <v>510</v>
      </c>
      <c r="B427" s="6">
        <v>17</v>
      </c>
      <c r="C427" s="6">
        <v>13</v>
      </c>
      <c r="D427" s="2" t="s">
        <v>432</v>
      </c>
      <c r="E427" s="6"/>
      <c r="F427" s="18">
        <v>0</v>
      </c>
      <c r="G427" s="18">
        <v>0</v>
      </c>
      <c r="H427" s="18">
        <v>0</v>
      </c>
      <c r="I427" s="18">
        <v>0</v>
      </c>
      <c r="J427" s="18">
        <v>0</v>
      </c>
      <c r="K427" s="18">
        <v>6477</v>
      </c>
      <c r="L427" s="56">
        <f t="shared" si="29"/>
        <v>6477</v>
      </c>
      <c r="M427" s="8"/>
      <c r="N427" s="262"/>
    </row>
    <row r="428" spans="1:21" s="11" customFormat="1" ht="12.2" customHeight="1" thickTop="1" x14ac:dyDescent="0.15">
      <c r="A428" s="158"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6477</v>
      </c>
      <c r="L428" s="47">
        <f t="shared" si="30"/>
        <v>6477</v>
      </c>
      <c r="M428" s="67"/>
      <c r="N428" s="225"/>
      <c r="O428" s="58"/>
      <c r="P428" s="58"/>
      <c r="Q428" s="58"/>
      <c r="R428" s="58"/>
      <c r="S428" s="58"/>
      <c r="T428" s="58"/>
      <c r="U428" s="58"/>
    </row>
    <row r="429" spans="1:21" s="58" customFormat="1" ht="12.2" customHeight="1" x14ac:dyDescent="0.15">
      <c r="A429" s="77" t="s">
        <v>383</v>
      </c>
      <c r="B429" s="2"/>
      <c r="C429" s="2"/>
      <c r="D429" s="2"/>
      <c r="E429" s="3"/>
      <c r="F429" s="24" t="s">
        <v>288</v>
      </c>
      <c r="G429" s="24" t="s">
        <v>288</v>
      </c>
      <c r="H429" s="24" t="s">
        <v>288</v>
      </c>
      <c r="I429" s="24" t="s">
        <v>288</v>
      </c>
      <c r="J429" s="24" t="s">
        <v>288</v>
      </c>
      <c r="K429" s="24" t="s">
        <v>288</v>
      </c>
      <c r="L429" s="24" t="s">
        <v>288</v>
      </c>
      <c r="M429" s="67"/>
      <c r="N429" s="225"/>
    </row>
    <row r="430" spans="1:21" s="58" customFormat="1" ht="12.2" customHeight="1" x14ac:dyDescent="0.15">
      <c r="A430" s="109"/>
      <c r="B430" s="6">
        <v>17</v>
      </c>
      <c r="C430" s="6">
        <v>15</v>
      </c>
      <c r="D430" s="2" t="s">
        <v>432</v>
      </c>
      <c r="E430" s="6"/>
      <c r="F430" s="18">
        <v>0</v>
      </c>
      <c r="G430" s="18">
        <v>0</v>
      </c>
      <c r="H430" s="18">
        <v>0</v>
      </c>
      <c r="I430" s="18">
        <v>0</v>
      </c>
      <c r="J430" s="18">
        <v>0</v>
      </c>
      <c r="K430" s="18">
        <v>0</v>
      </c>
      <c r="L430" s="56">
        <f>SUM(F430:K430)</f>
        <v>0</v>
      </c>
      <c r="M430" s="67"/>
      <c r="N430" s="225"/>
    </row>
    <row r="431" spans="1:21" ht="12.2" customHeight="1" x14ac:dyDescent="0.2">
      <c r="A431" s="109"/>
      <c r="B431" s="6">
        <v>17</v>
      </c>
      <c r="C431" s="6">
        <v>16</v>
      </c>
      <c r="D431" s="2" t="s">
        <v>432</v>
      </c>
      <c r="E431" s="6"/>
      <c r="F431" s="18">
        <v>0</v>
      </c>
      <c r="G431" s="18">
        <v>0</v>
      </c>
      <c r="H431" s="18">
        <v>0</v>
      </c>
      <c r="I431" s="18">
        <v>0</v>
      </c>
      <c r="J431" s="18">
        <v>0</v>
      </c>
      <c r="K431" s="18">
        <v>0</v>
      </c>
      <c r="L431" s="56">
        <f>SUM(F431:K431)</f>
        <v>0</v>
      </c>
      <c r="N431" s="260"/>
    </row>
    <row r="432" spans="1:21" s="3" customFormat="1" ht="12.2" customHeight="1" x14ac:dyDescent="0.15">
      <c r="A432" s="109"/>
      <c r="B432" s="6">
        <v>17</v>
      </c>
      <c r="C432" s="6">
        <v>17</v>
      </c>
      <c r="D432" s="2" t="s">
        <v>432</v>
      </c>
      <c r="E432" s="6"/>
      <c r="F432" s="18">
        <v>0</v>
      </c>
      <c r="G432" s="18">
        <v>0</v>
      </c>
      <c r="H432" s="18">
        <v>0</v>
      </c>
      <c r="I432" s="18">
        <v>0</v>
      </c>
      <c r="J432" s="18">
        <v>0</v>
      </c>
      <c r="K432" s="18">
        <v>0</v>
      </c>
      <c r="L432" s="56">
        <f>SUM(F432:K432)</f>
        <v>0</v>
      </c>
      <c r="M432" s="8"/>
      <c r="N432" s="262"/>
    </row>
    <row r="433" spans="1:14" s="3" customFormat="1" ht="12.2" customHeight="1" thickBot="1" x14ac:dyDescent="0.2">
      <c r="A433" s="109"/>
      <c r="B433" s="6">
        <v>17</v>
      </c>
      <c r="C433" s="6">
        <v>18</v>
      </c>
      <c r="D433" s="2" t="s">
        <v>432</v>
      </c>
      <c r="E433" s="6"/>
      <c r="F433" s="18">
        <v>0</v>
      </c>
      <c r="G433" s="18">
        <v>0</v>
      </c>
      <c r="H433" s="18">
        <v>0</v>
      </c>
      <c r="I433" s="18">
        <v>0</v>
      </c>
      <c r="J433" s="18">
        <v>0</v>
      </c>
      <c r="K433" s="18">
        <v>0</v>
      </c>
      <c r="L433" s="56">
        <f>SUM(F433:K433)</f>
        <v>0</v>
      </c>
      <c r="M433" s="8"/>
      <c r="N433" s="262"/>
    </row>
    <row r="434" spans="1:14" s="3" customFormat="1" ht="12.2" customHeight="1" thickTop="1" thickBot="1" x14ac:dyDescent="0.2">
      <c r="A434" s="158"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2"/>
    </row>
    <row r="435" spans="1:14" s="3" customFormat="1" ht="12.2" customHeight="1" thickTop="1" x14ac:dyDescent="0.15">
      <c r="A435" s="77"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204927</v>
      </c>
      <c r="L435" s="47">
        <f t="shared" si="32"/>
        <v>204927</v>
      </c>
      <c r="M435" s="8"/>
      <c r="N435" s="262"/>
    </row>
    <row r="436" spans="1:14" s="3" customFormat="1" ht="12.2" customHeight="1" x14ac:dyDescent="0.15">
      <c r="A436" s="77"/>
      <c r="B436" s="6"/>
      <c r="C436" s="6"/>
      <c r="D436" s="6"/>
      <c r="E436" s="6"/>
      <c r="F436" s="56"/>
      <c r="G436" s="56"/>
      <c r="H436" s="56"/>
      <c r="I436" s="56"/>
      <c r="J436" s="56"/>
      <c r="K436" s="56"/>
      <c r="L436" s="56"/>
      <c r="M436" s="8"/>
      <c r="N436" s="262"/>
    </row>
    <row r="437" spans="1:14" s="3" customFormat="1" ht="12.2" customHeight="1" x14ac:dyDescent="0.15">
      <c r="A437" s="34" t="s">
        <v>0</v>
      </c>
      <c r="K437" s="56"/>
      <c r="L437" s="13"/>
      <c r="M437" s="8"/>
      <c r="N437" s="262"/>
    </row>
    <row r="438" spans="1:14" s="3" customFormat="1" ht="12.2" customHeight="1" x14ac:dyDescent="0.15">
      <c r="A438" s="34" t="s">
        <v>1</v>
      </c>
      <c r="F438" s="23" t="s">
        <v>2</v>
      </c>
      <c r="G438" s="23" t="s">
        <v>3</v>
      </c>
      <c r="H438" s="23" t="s">
        <v>4</v>
      </c>
      <c r="I438" s="23" t="s">
        <v>5</v>
      </c>
      <c r="M438" s="8"/>
      <c r="N438" s="262"/>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2"/>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2"/>
    </row>
    <row r="441" spans="1:14" s="3" customFormat="1" ht="12.2" customHeight="1" x14ac:dyDescent="0.15">
      <c r="A441" s="68" t="s">
        <v>562</v>
      </c>
      <c r="B441" s="23">
        <v>18</v>
      </c>
      <c r="C441" s="6">
        <v>2</v>
      </c>
      <c r="D441" s="2" t="s">
        <v>432</v>
      </c>
      <c r="E441" s="6">
        <v>110</v>
      </c>
      <c r="F441" s="18">
        <v>0</v>
      </c>
      <c r="G441" s="18">
        <v>0</v>
      </c>
      <c r="H441" s="18">
        <v>0</v>
      </c>
      <c r="I441" s="56">
        <f t="shared" si="33"/>
        <v>0</v>
      </c>
      <c r="J441" s="24" t="s">
        <v>288</v>
      </c>
      <c r="K441" s="24" t="s">
        <v>288</v>
      </c>
      <c r="L441" s="24" t="s">
        <v>288</v>
      </c>
      <c r="M441" s="8"/>
      <c r="N441" s="262"/>
    </row>
    <row r="442" spans="1:14" s="3" customFormat="1" ht="12.2" customHeight="1" x14ac:dyDescent="0.15">
      <c r="A442" s="68" t="s">
        <v>603</v>
      </c>
      <c r="B442" s="23">
        <v>18</v>
      </c>
      <c r="C442" s="6">
        <v>3</v>
      </c>
      <c r="D442" s="2" t="s">
        <v>432</v>
      </c>
      <c r="E442" s="6">
        <v>130</v>
      </c>
      <c r="F442" s="18">
        <v>0</v>
      </c>
      <c r="G442" s="18">
        <v>0</v>
      </c>
      <c r="H442" s="18">
        <v>0</v>
      </c>
      <c r="I442" s="56">
        <f t="shared" si="33"/>
        <v>0</v>
      </c>
      <c r="J442" s="24" t="s">
        <v>288</v>
      </c>
      <c r="K442" s="24" t="s">
        <v>288</v>
      </c>
      <c r="L442" s="24" t="s">
        <v>288</v>
      </c>
      <c r="M442" s="8"/>
      <c r="N442" s="262"/>
    </row>
    <row r="443" spans="1:14" s="3" customFormat="1" ht="12.2" customHeight="1" x14ac:dyDescent="0.15">
      <c r="A443" s="68" t="s">
        <v>604</v>
      </c>
      <c r="B443" s="23">
        <v>18</v>
      </c>
      <c r="C443" s="6">
        <v>4</v>
      </c>
      <c r="D443" s="2" t="s">
        <v>432</v>
      </c>
      <c r="E443" s="6">
        <v>140</v>
      </c>
      <c r="F443" s="18">
        <v>979302.40999999992</v>
      </c>
      <c r="G443" s="18">
        <v>208045.57</v>
      </c>
      <c r="H443" s="18">
        <v>0</v>
      </c>
      <c r="I443" s="56">
        <f t="shared" si="33"/>
        <v>1187347.98</v>
      </c>
      <c r="J443" s="24" t="s">
        <v>288</v>
      </c>
      <c r="K443" s="24" t="s">
        <v>288</v>
      </c>
      <c r="L443" s="24" t="s">
        <v>288</v>
      </c>
      <c r="M443" s="8"/>
      <c r="N443" s="262"/>
    </row>
    <row r="444" spans="1:14" s="3" customFormat="1" ht="12.2" customHeight="1" x14ac:dyDescent="0.15">
      <c r="A444" s="68" t="s">
        <v>565</v>
      </c>
      <c r="B444" s="23">
        <v>18</v>
      </c>
      <c r="C444" s="6">
        <v>5</v>
      </c>
      <c r="D444" s="2" t="s">
        <v>432</v>
      </c>
      <c r="E444" s="6">
        <v>150</v>
      </c>
      <c r="F444" s="18">
        <v>0</v>
      </c>
      <c r="G444" s="18">
        <v>0</v>
      </c>
      <c r="H444" s="18">
        <v>0</v>
      </c>
      <c r="I444" s="56">
        <f t="shared" si="33"/>
        <v>0</v>
      </c>
      <c r="J444" s="24" t="s">
        <v>288</v>
      </c>
      <c r="K444" s="24" t="s">
        <v>288</v>
      </c>
      <c r="L444" s="24" t="s">
        <v>288</v>
      </c>
      <c r="M444" s="8"/>
      <c r="N444" s="262"/>
    </row>
    <row r="445" spans="1:14" s="3" customFormat="1" ht="12.2" customHeight="1" x14ac:dyDescent="0.15">
      <c r="A445" s="68" t="s">
        <v>605</v>
      </c>
      <c r="B445" s="23">
        <v>18</v>
      </c>
      <c r="C445" s="6">
        <v>6</v>
      </c>
      <c r="D445" s="2" t="s">
        <v>432</v>
      </c>
      <c r="E445" s="6">
        <v>180</v>
      </c>
      <c r="F445" s="18">
        <v>0</v>
      </c>
      <c r="G445" s="18">
        <v>0</v>
      </c>
      <c r="H445" s="18">
        <v>0</v>
      </c>
      <c r="I445" s="56">
        <f t="shared" si="33"/>
        <v>0</v>
      </c>
      <c r="J445" s="24" t="s">
        <v>288</v>
      </c>
      <c r="K445" s="24" t="s">
        <v>288</v>
      </c>
      <c r="L445" s="24" t="s">
        <v>288</v>
      </c>
      <c r="M445" s="8"/>
      <c r="N445" s="262"/>
    </row>
    <row r="446" spans="1:14" s="3" customFormat="1" ht="12.2" customHeight="1" x14ac:dyDescent="0.15">
      <c r="A446" s="68" t="s">
        <v>606</v>
      </c>
      <c r="B446" s="23">
        <v>18</v>
      </c>
      <c r="C446" s="6">
        <v>7</v>
      </c>
      <c r="D446" s="2" t="s">
        <v>432</v>
      </c>
      <c r="E446" s="6">
        <v>190</v>
      </c>
      <c r="F446" s="18">
        <v>0</v>
      </c>
      <c r="G446" s="18">
        <v>0</v>
      </c>
      <c r="H446" s="18">
        <v>0</v>
      </c>
      <c r="I446" s="56">
        <f t="shared" si="33"/>
        <v>0</v>
      </c>
      <c r="J446" s="24" t="s">
        <v>288</v>
      </c>
      <c r="K446" s="24" t="s">
        <v>288</v>
      </c>
      <c r="L446" s="24" t="s">
        <v>288</v>
      </c>
      <c r="M446" s="8"/>
      <c r="N446" s="262"/>
    </row>
    <row r="447" spans="1:14" s="3" customFormat="1" ht="12.2" customHeight="1" thickBot="1" x14ac:dyDescent="0.2">
      <c r="A447" s="69" t="s">
        <v>404</v>
      </c>
      <c r="B447" s="23">
        <v>18</v>
      </c>
      <c r="C447" s="37">
        <v>8</v>
      </c>
      <c r="D447" s="2" t="s">
        <v>432</v>
      </c>
      <c r="E447" s="37"/>
      <c r="F447" s="13">
        <f>SUM(F440:F446)</f>
        <v>979302.40999999992</v>
      </c>
      <c r="G447" s="13">
        <f>SUM(G440:G446)</f>
        <v>208045.57</v>
      </c>
      <c r="H447" s="13">
        <f>SUM(H440:H446)</f>
        <v>0</v>
      </c>
      <c r="I447" s="13">
        <f>SUM(I440:I446)</f>
        <v>1187347.98</v>
      </c>
      <c r="J447" s="24" t="s">
        <v>288</v>
      </c>
      <c r="K447" s="24" t="s">
        <v>288</v>
      </c>
      <c r="L447" s="24" t="s">
        <v>288</v>
      </c>
      <c r="M447" s="8"/>
      <c r="N447" s="262"/>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2"/>
    </row>
    <row r="449" spans="1:86" s="3" customFormat="1" ht="12.2" customHeight="1" x14ac:dyDescent="0.15">
      <c r="A449" s="68" t="s">
        <v>569</v>
      </c>
      <c r="B449" s="23">
        <v>18</v>
      </c>
      <c r="C449" s="6">
        <v>9</v>
      </c>
      <c r="D449" s="2" t="s">
        <v>432</v>
      </c>
      <c r="E449" s="6">
        <v>400</v>
      </c>
      <c r="F449" s="18">
        <v>0</v>
      </c>
      <c r="G449" s="18">
        <v>0</v>
      </c>
      <c r="H449" s="18">
        <v>0</v>
      </c>
      <c r="I449" s="56">
        <f>SUM(F449:H449)</f>
        <v>0</v>
      </c>
      <c r="J449" s="24" t="s">
        <v>288</v>
      </c>
      <c r="K449" s="24" t="s">
        <v>288</v>
      </c>
      <c r="L449" s="24" t="s">
        <v>288</v>
      </c>
      <c r="M449" s="8"/>
      <c r="N449" s="262"/>
    </row>
    <row r="450" spans="1:86" s="3" customFormat="1" ht="12.2" customHeight="1" x14ac:dyDescent="0.15">
      <c r="A450" s="68" t="s">
        <v>607</v>
      </c>
      <c r="B450" s="23">
        <v>18</v>
      </c>
      <c r="C450" s="6">
        <v>10</v>
      </c>
      <c r="D450" s="2" t="s">
        <v>432</v>
      </c>
      <c r="E450" s="6">
        <v>410</v>
      </c>
      <c r="F450" s="18">
        <v>0</v>
      </c>
      <c r="G450" s="18">
        <v>0</v>
      </c>
      <c r="H450" s="18">
        <v>0</v>
      </c>
      <c r="I450" s="56">
        <f>SUM(F450:H450)</f>
        <v>0</v>
      </c>
      <c r="J450" s="24" t="s">
        <v>288</v>
      </c>
      <c r="K450" s="24" t="s">
        <v>288</v>
      </c>
      <c r="L450" s="24" t="s">
        <v>288</v>
      </c>
      <c r="M450" s="8"/>
      <c r="N450" s="262"/>
    </row>
    <row r="451" spans="1:86" s="3" customFormat="1" ht="12.2" customHeight="1" x14ac:dyDescent="0.15">
      <c r="A451" s="68" t="s">
        <v>570</v>
      </c>
      <c r="B451" s="23">
        <v>18</v>
      </c>
      <c r="C451" s="6">
        <v>11</v>
      </c>
      <c r="D451" s="2" t="s">
        <v>432</v>
      </c>
      <c r="E451" s="6">
        <v>420</v>
      </c>
      <c r="F451" s="18">
        <v>0</v>
      </c>
      <c r="G451" s="18">
        <v>0</v>
      </c>
      <c r="H451" s="18">
        <v>0</v>
      </c>
      <c r="I451" s="56">
        <f>SUM(F451:H451)</f>
        <v>0</v>
      </c>
      <c r="J451" s="24" t="s">
        <v>288</v>
      </c>
      <c r="K451" s="24" t="s">
        <v>288</v>
      </c>
      <c r="L451" s="24" t="s">
        <v>288</v>
      </c>
      <c r="M451" s="8"/>
      <c r="N451" s="262"/>
    </row>
    <row r="452" spans="1:86" s="3" customFormat="1" ht="12.2" customHeight="1" x14ac:dyDescent="0.15">
      <c r="A452" s="68" t="s">
        <v>608</v>
      </c>
      <c r="B452" s="23">
        <v>18</v>
      </c>
      <c r="C452" s="6">
        <v>12</v>
      </c>
      <c r="D452" s="2" t="s">
        <v>432</v>
      </c>
      <c r="E452" s="6">
        <v>490</v>
      </c>
      <c r="F452" s="18">
        <v>0</v>
      </c>
      <c r="G452" s="18">
        <v>0</v>
      </c>
      <c r="H452" s="18">
        <v>0</v>
      </c>
      <c r="I452" s="56">
        <f>SUM(F452:H452)</f>
        <v>0</v>
      </c>
      <c r="J452" s="24" t="s">
        <v>288</v>
      </c>
      <c r="K452" s="24" t="s">
        <v>288</v>
      </c>
      <c r="L452" s="24" t="s">
        <v>288</v>
      </c>
      <c r="M452" s="8"/>
      <c r="N452" s="262"/>
    </row>
    <row r="453" spans="1:86" s="3" customFormat="1" ht="12.2" customHeight="1" thickBot="1" x14ac:dyDescent="0.2">
      <c r="A453" s="73" t="s">
        <v>423</v>
      </c>
      <c r="B453" s="72">
        <v>18</v>
      </c>
      <c r="C453" s="70">
        <v>13</v>
      </c>
      <c r="D453" s="2" t="s">
        <v>432</v>
      </c>
      <c r="E453" s="70"/>
      <c r="F453" s="71">
        <f>SUM(F449:F452)</f>
        <v>0</v>
      </c>
      <c r="G453" s="71">
        <f>SUM(G449:G452)</f>
        <v>0</v>
      </c>
      <c r="H453" s="71">
        <f>SUM(H449:H452)</f>
        <v>0</v>
      </c>
      <c r="I453" s="71">
        <f>SUM(I449:I452)</f>
        <v>0</v>
      </c>
      <c r="J453" s="24" t="s">
        <v>288</v>
      </c>
      <c r="K453" s="24" t="s">
        <v>288</v>
      </c>
      <c r="L453" s="24" t="s">
        <v>288</v>
      </c>
      <c r="M453" s="8"/>
      <c r="N453" s="262"/>
    </row>
    <row r="454" spans="1:86" s="3" customFormat="1" ht="12.2" customHeight="1" thickTop="1" x14ac:dyDescent="0.15">
      <c r="A454" s="89" t="s">
        <v>8</v>
      </c>
      <c r="B454" s="36"/>
      <c r="C454" s="74"/>
      <c r="D454" s="74"/>
      <c r="E454" s="74"/>
      <c r="F454" s="24" t="s">
        <v>288</v>
      </c>
      <c r="G454" s="24" t="s">
        <v>288</v>
      </c>
      <c r="H454" s="24" t="s">
        <v>288</v>
      </c>
      <c r="I454" s="24" t="s">
        <v>288</v>
      </c>
      <c r="J454" s="24" t="s">
        <v>288</v>
      </c>
      <c r="K454" s="24" t="s">
        <v>288</v>
      </c>
      <c r="L454" s="24" t="s">
        <v>288</v>
      </c>
      <c r="M454" s="8"/>
      <c r="N454" s="262"/>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2"/>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2"/>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7"/>
      <c r="N457" s="225"/>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1"/>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1"/>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F443</f>
        <v>979302.40999999992</v>
      </c>
      <c r="G460" s="18">
        <f>G443</f>
        <v>208045.57</v>
      </c>
      <c r="H460" s="18">
        <v>0</v>
      </c>
      <c r="I460" s="56">
        <f t="shared" si="34"/>
        <v>1187347.98</v>
      </c>
      <c r="J460" s="24" t="s">
        <v>288</v>
      </c>
      <c r="K460" s="24" t="s">
        <v>288</v>
      </c>
      <c r="L460" s="24" t="s">
        <v>288</v>
      </c>
      <c r="N460" s="261"/>
    </row>
    <row r="461" spans="1:86" s="52" customFormat="1" ht="12.2" customHeight="1" thickTop="1" thickBot="1" x14ac:dyDescent="0.25">
      <c r="A461" s="50" t="s">
        <v>407</v>
      </c>
      <c r="B461" s="80">
        <v>18</v>
      </c>
      <c r="C461" s="51">
        <v>20</v>
      </c>
      <c r="D461" s="48" t="s">
        <v>432</v>
      </c>
      <c r="E461" s="51"/>
      <c r="F461" s="82">
        <f>SUM(F455:F460)</f>
        <v>979302.40999999992</v>
      </c>
      <c r="G461" s="82">
        <f>SUM(G455:G460)</f>
        <v>208045.57</v>
      </c>
      <c r="H461" s="82">
        <f>SUM(H455:H460)</f>
        <v>0</v>
      </c>
      <c r="I461" s="82">
        <f>SUM(I455:I460)</f>
        <v>1187347.98</v>
      </c>
      <c r="J461" s="24" t="s">
        <v>288</v>
      </c>
      <c r="K461" s="24" t="s">
        <v>288</v>
      </c>
      <c r="L461" s="24" t="s">
        <v>288</v>
      </c>
      <c r="N461" s="261"/>
    </row>
    <row r="462" spans="1:86" s="52" customFormat="1" ht="12.2" customHeight="1" thickTop="1" x14ac:dyDescent="0.2">
      <c r="A462" s="90" t="s">
        <v>424</v>
      </c>
      <c r="B462" s="44">
        <v>18</v>
      </c>
      <c r="C462" s="81">
        <v>21</v>
      </c>
      <c r="D462" s="155" t="s">
        <v>432</v>
      </c>
      <c r="E462" s="81"/>
      <c r="F462" s="42">
        <f>F453+F461</f>
        <v>979302.40999999992</v>
      </c>
      <c r="G462" s="42">
        <f>G453+G461</f>
        <v>208045.57</v>
      </c>
      <c r="H462" s="42">
        <f>H453+H461</f>
        <v>0</v>
      </c>
      <c r="I462" s="42">
        <f>I453+I461</f>
        <v>1187347.98</v>
      </c>
      <c r="J462" s="24" t="s">
        <v>288</v>
      </c>
      <c r="K462" s="24" t="s">
        <v>288</v>
      </c>
      <c r="L462" s="24" t="s">
        <v>288</v>
      </c>
      <c r="N462" s="261"/>
    </row>
    <row r="463" spans="1:86" s="52" customFormat="1" ht="12.2" customHeight="1" x14ac:dyDescent="0.2">
      <c r="A463" s="91"/>
      <c r="B463" s="74"/>
      <c r="C463" s="79"/>
      <c r="D463" s="79"/>
      <c r="E463" s="79"/>
      <c r="F463" s="53"/>
      <c r="G463" s="53"/>
      <c r="H463" s="53"/>
      <c r="I463" s="53"/>
      <c r="J463" s="53"/>
      <c r="K463" s="53"/>
      <c r="L463" s="53"/>
      <c r="N463" s="261"/>
    </row>
    <row r="464" spans="1:86" s="52" customFormat="1" ht="12.2" customHeight="1" x14ac:dyDescent="0.2">
      <c r="A464" s="91" t="s">
        <v>9</v>
      </c>
      <c r="B464" s="74"/>
      <c r="C464" s="79"/>
      <c r="D464" s="79"/>
      <c r="E464" s="79"/>
      <c r="F464" s="23" t="s">
        <v>273</v>
      </c>
      <c r="G464" s="23" t="s">
        <v>274</v>
      </c>
      <c r="H464" s="23" t="s">
        <v>275</v>
      </c>
      <c r="I464" s="23" t="s">
        <v>276</v>
      </c>
      <c r="J464" s="23" t="s">
        <v>277</v>
      </c>
      <c r="K464" s="53"/>
      <c r="L464" s="53"/>
      <c r="N464" s="261"/>
    </row>
    <row r="465" spans="1:14" s="52" customFormat="1" ht="12.2" customHeight="1" x14ac:dyDescent="0.2">
      <c r="A465" s="91"/>
      <c r="B465" s="74"/>
      <c r="C465" s="79"/>
      <c r="D465" s="79"/>
      <c r="E465" s="79"/>
      <c r="F465" s="83" t="s">
        <v>10</v>
      </c>
      <c r="G465" s="83" t="s">
        <v>11</v>
      </c>
      <c r="H465" s="83" t="s">
        <v>12</v>
      </c>
      <c r="I465" s="83" t="s">
        <v>13</v>
      </c>
      <c r="J465" s="83" t="s">
        <v>14</v>
      </c>
      <c r="K465" s="53"/>
      <c r="L465" s="53"/>
      <c r="N465" s="261"/>
    </row>
    <row r="466" spans="1:14" s="52" customFormat="1" ht="12.2" customHeight="1" x14ac:dyDescent="0.2">
      <c r="A466" s="187" t="s">
        <v>1625</v>
      </c>
      <c r="B466" s="104">
        <v>19</v>
      </c>
      <c r="C466" s="110">
        <v>1</v>
      </c>
      <c r="D466" s="2" t="s">
        <v>432</v>
      </c>
      <c r="E466" s="110"/>
      <c r="F466" s="18">
        <v>1045013.44</v>
      </c>
      <c r="G466" s="18">
        <v>0.71</v>
      </c>
      <c r="H466" s="18">
        <v>0.79</v>
      </c>
      <c r="I466" s="18">
        <v>0</v>
      </c>
      <c r="J466" s="18">
        <v>1205271.56</v>
      </c>
      <c r="K466" s="24" t="s">
        <v>288</v>
      </c>
      <c r="L466" s="24" t="s">
        <v>288</v>
      </c>
      <c r="N466" s="261"/>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1"/>
    </row>
    <row r="468" spans="1:14" s="52" customFormat="1" ht="12.2" customHeight="1" x14ac:dyDescent="0.2">
      <c r="A468" s="93" t="s">
        <v>15</v>
      </c>
      <c r="B468" s="24" t="s">
        <v>288</v>
      </c>
      <c r="C468" s="24" t="s">
        <v>288</v>
      </c>
      <c r="D468" s="24"/>
      <c r="E468" s="24"/>
      <c r="F468" s="24" t="s">
        <v>288</v>
      </c>
      <c r="G468" s="24" t="s">
        <v>288</v>
      </c>
      <c r="H468" s="24" t="s">
        <v>288</v>
      </c>
      <c r="I468" s="24" t="s">
        <v>288</v>
      </c>
      <c r="J468" s="24" t="s">
        <v>288</v>
      </c>
      <c r="K468" s="24" t="s">
        <v>288</v>
      </c>
      <c r="L468" s="24" t="s">
        <v>288</v>
      </c>
      <c r="N468" s="261"/>
    </row>
    <row r="469" spans="1:14" s="52" customFormat="1" ht="12.2" customHeight="1" x14ac:dyDescent="0.2">
      <c r="A469" s="92" t="s">
        <v>610</v>
      </c>
      <c r="B469" s="74">
        <v>19</v>
      </c>
      <c r="C469" s="79">
        <v>2</v>
      </c>
      <c r="D469" s="2" t="s">
        <v>432</v>
      </c>
      <c r="E469" s="79"/>
      <c r="F469" s="18">
        <f>F194</f>
        <v>15021094.040000001</v>
      </c>
      <c r="G469" s="18">
        <f t="shared" ref="G469:I469" si="35">G194</f>
        <v>453437.12</v>
      </c>
      <c r="H469" s="18">
        <f t="shared" si="35"/>
        <v>1346202.0999999999</v>
      </c>
      <c r="I469" s="18">
        <f t="shared" si="35"/>
        <v>0</v>
      </c>
      <c r="J469" s="18">
        <f>L409</f>
        <v>187003.42</v>
      </c>
      <c r="K469" s="24" t="s">
        <v>288</v>
      </c>
      <c r="L469" s="24" t="s">
        <v>288</v>
      </c>
      <c r="N469" s="261"/>
    </row>
    <row r="470" spans="1:14" s="52" customFormat="1" ht="12.2" customHeight="1" x14ac:dyDescent="0.2">
      <c r="A470" s="92" t="s">
        <v>611</v>
      </c>
      <c r="B470" s="74">
        <v>19</v>
      </c>
      <c r="C470" s="79">
        <v>3</v>
      </c>
      <c r="D470" s="2" t="s">
        <v>432</v>
      </c>
      <c r="E470" s="79"/>
      <c r="F470" s="18">
        <v>0</v>
      </c>
      <c r="G470" s="18">
        <v>0</v>
      </c>
      <c r="H470" s="18">
        <v>0</v>
      </c>
      <c r="I470" s="18">
        <v>0</v>
      </c>
      <c r="J470" s="18">
        <v>0</v>
      </c>
      <c r="K470" s="24" t="s">
        <v>288</v>
      </c>
      <c r="L470" s="24" t="s">
        <v>288</v>
      </c>
      <c r="N470" s="261"/>
    </row>
    <row r="471" spans="1:14" s="52" customFormat="1" ht="12.2" customHeight="1" x14ac:dyDescent="0.2">
      <c r="A471" s="91" t="s">
        <v>425</v>
      </c>
      <c r="B471" s="74">
        <v>19</v>
      </c>
      <c r="C471" s="79">
        <v>4</v>
      </c>
      <c r="D471" s="2" t="s">
        <v>432</v>
      </c>
      <c r="E471" s="79"/>
      <c r="F471" s="53">
        <f>SUM(F469:F470)</f>
        <v>15021094.040000001</v>
      </c>
      <c r="G471" s="53">
        <f>SUM(G469:G470)</f>
        <v>453437.12</v>
      </c>
      <c r="H471" s="53">
        <f>SUM(H469:H470)</f>
        <v>1346202.0999999999</v>
      </c>
      <c r="I471" s="53">
        <f>SUM(I469:I470)</f>
        <v>0</v>
      </c>
      <c r="J471" s="53">
        <f>SUM(J469:J470)</f>
        <v>187003.42</v>
      </c>
      <c r="K471" s="24" t="s">
        <v>288</v>
      </c>
      <c r="L471" s="24" t="s">
        <v>288</v>
      </c>
      <c r="N471" s="261"/>
    </row>
    <row r="472" spans="1:14" s="52" customFormat="1" ht="12.2" customHeight="1" x14ac:dyDescent="0.2">
      <c r="A472" s="93" t="s">
        <v>16</v>
      </c>
      <c r="B472" s="24" t="s">
        <v>288</v>
      </c>
      <c r="C472" s="24" t="s">
        <v>288</v>
      </c>
      <c r="D472" s="24"/>
      <c r="E472" s="24"/>
      <c r="F472" s="24" t="s">
        <v>288</v>
      </c>
      <c r="G472" s="24" t="s">
        <v>288</v>
      </c>
      <c r="H472" s="24" t="s">
        <v>288</v>
      </c>
      <c r="I472" s="24" t="s">
        <v>288</v>
      </c>
      <c r="J472" s="24" t="s">
        <v>288</v>
      </c>
      <c r="K472" s="24" t="s">
        <v>288</v>
      </c>
      <c r="L472" s="24" t="s">
        <v>288</v>
      </c>
      <c r="N472" s="261"/>
    </row>
    <row r="473" spans="1:14" s="52" customFormat="1" ht="12.2" customHeight="1" x14ac:dyDescent="0.2">
      <c r="A473" s="92" t="s">
        <v>612</v>
      </c>
      <c r="B473" s="74">
        <v>19</v>
      </c>
      <c r="C473" s="79">
        <v>5</v>
      </c>
      <c r="D473" s="2" t="s">
        <v>432</v>
      </c>
      <c r="E473" s="79"/>
      <c r="F473" s="18">
        <f>L272</f>
        <v>15085501.300000001</v>
      </c>
      <c r="G473" s="18">
        <f>L363</f>
        <v>449129.22</v>
      </c>
      <c r="H473" s="18">
        <f>L353</f>
        <v>1346202.0999999999</v>
      </c>
      <c r="I473" s="18">
        <v>0</v>
      </c>
      <c r="J473" s="18">
        <f>L435</f>
        <v>204927</v>
      </c>
      <c r="K473" s="24" t="s">
        <v>288</v>
      </c>
      <c r="L473" s="24" t="s">
        <v>288</v>
      </c>
      <c r="N473" s="261"/>
    </row>
    <row r="474" spans="1:14" s="52" customFormat="1" ht="12.2" customHeight="1" x14ac:dyDescent="0.2">
      <c r="A474" s="92" t="s">
        <v>613</v>
      </c>
      <c r="B474" s="74">
        <v>19</v>
      </c>
      <c r="C474" s="79">
        <v>6</v>
      </c>
      <c r="D474" s="2" t="s">
        <v>432</v>
      </c>
      <c r="E474" s="79"/>
      <c r="F474" s="18">
        <v>0</v>
      </c>
      <c r="G474" s="18">
        <v>0</v>
      </c>
      <c r="H474" s="18">
        <v>0</v>
      </c>
      <c r="I474" s="18">
        <v>0</v>
      </c>
      <c r="J474" s="18">
        <v>0</v>
      </c>
      <c r="K474" s="24" t="s">
        <v>288</v>
      </c>
      <c r="L474" s="24" t="s">
        <v>288</v>
      </c>
      <c r="N474" s="261"/>
    </row>
    <row r="475" spans="1:14" s="52" customFormat="1" ht="12.2" customHeight="1" x14ac:dyDescent="0.2">
      <c r="A475" s="91" t="s">
        <v>426</v>
      </c>
      <c r="B475" s="74">
        <v>19</v>
      </c>
      <c r="C475" s="79">
        <v>7</v>
      </c>
      <c r="D475" s="2" t="s">
        <v>432</v>
      </c>
      <c r="E475" s="79"/>
      <c r="F475" s="53">
        <f>SUM(F473:F474)</f>
        <v>15085501.300000001</v>
      </c>
      <c r="G475" s="53">
        <f>SUM(G473:G474)</f>
        <v>449129.22</v>
      </c>
      <c r="H475" s="53">
        <f>SUM(H473:H474)</f>
        <v>1346202.0999999999</v>
      </c>
      <c r="I475" s="53">
        <f>SUM(I473:I474)</f>
        <v>0</v>
      </c>
      <c r="J475" s="53">
        <f>SUM(J473:J474)</f>
        <v>204927</v>
      </c>
      <c r="K475" s="24" t="s">
        <v>288</v>
      </c>
      <c r="L475" s="24" t="s">
        <v>288</v>
      </c>
      <c r="N475" s="261"/>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1"/>
    </row>
    <row r="477" spans="1:14" s="52" customFormat="1" ht="12.2" customHeight="1" x14ac:dyDescent="0.2">
      <c r="A477" s="188" t="s">
        <v>1626</v>
      </c>
      <c r="B477" s="74">
        <v>19</v>
      </c>
      <c r="C477" s="114">
        <v>8</v>
      </c>
      <c r="D477" s="2" t="s">
        <v>432</v>
      </c>
      <c r="E477" s="114"/>
      <c r="F477" s="53">
        <f>(F466+F471)- F475</f>
        <v>980606.1799999997</v>
      </c>
      <c r="G477" s="53">
        <f>(G466+G471)- G475</f>
        <v>4308.6100000000442</v>
      </c>
      <c r="H477" s="53">
        <f>(H466+H471)- H475</f>
        <v>0.7900000000372529</v>
      </c>
      <c r="I477" s="53">
        <f>(I466+I471)- I475</f>
        <v>0</v>
      </c>
      <c r="J477" s="53">
        <f>(J466+J471)- J475</f>
        <v>1187347.98</v>
      </c>
      <c r="K477" s="24" t="s">
        <v>288</v>
      </c>
      <c r="L477" s="24" t="s">
        <v>288</v>
      </c>
      <c r="N477" s="261"/>
    </row>
    <row r="478" spans="1:14" s="52" customFormat="1" ht="12.2" customHeight="1" x14ac:dyDescent="0.2">
      <c r="A478" s="94"/>
      <c r="B478" s="94"/>
      <c r="C478" s="94"/>
      <c r="D478" s="94"/>
      <c r="E478" s="94"/>
      <c r="F478" s="94"/>
      <c r="G478" s="94"/>
      <c r="H478" s="94"/>
      <c r="I478" s="94"/>
      <c r="J478" s="94"/>
      <c r="K478" s="94"/>
      <c r="L478" s="94"/>
      <c r="N478" s="261"/>
    </row>
    <row r="479" spans="1:14" s="52" customFormat="1" ht="12.2" customHeight="1" x14ac:dyDescent="0.2">
      <c r="A479" s="94" t="s">
        <v>657</v>
      </c>
      <c r="B479" s="94"/>
      <c r="C479" s="94"/>
      <c r="D479" s="94"/>
      <c r="E479" s="94"/>
      <c r="F479" s="94"/>
      <c r="G479" s="94"/>
      <c r="H479" s="94"/>
      <c r="I479" s="94"/>
      <c r="J479" s="94"/>
      <c r="K479" s="94"/>
      <c r="L479" s="94"/>
      <c r="N479" s="261"/>
    </row>
    <row r="480" spans="1:14" s="52" customFormat="1" ht="12.2" customHeight="1" x14ac:dyDescent="0.2">
      <c r="A480" s="94" t="s">
        <v>695</v>
      </c>
      <c r="B480" s="111"/>
      <c r="C480" s="111"/>
      <c r="D480" s="111"/>
      <c r="E480" s="111"/>
      <c r="F480" s="111"/>
      <c r="G480" s="111"/>
      <c r="H480" s="111"/>
      <c r="I480" s="111" t="s">
        <v>17</v>
      </c>
      <c r="J480" s="111"/>
      <c r="K480" s="94"/>
      <c r="L480" s="94"/>
      <c r="N480" s="261"/>
    </row>
    <row r="481" spans="1:14" s="52" customFormat="1" ht="12.2" customHeight="1" x14ac:dyDescent="0.2">
      <c r="A481" s="18"/>
      <c r="B481" s="111"/>
      <c r="C481" s="111"/>
      <c r="D481" s="111"/>
      <c r="E481" s="111"/>
      <c r="F481" s="111"/>
      <c r="G481" s="111"/>
      <c r="H481" s="111"/>
      <c r="I481" s="111" t="s">
        <v>401</v>
      </c>
      <c r="J481" s="111"/>
      <c r="K481" s="94"/>
      <c r="L481" s="94"/>
      <c r="N481" s="261"/>
    </row>
    <row r="482" spans="1:14" s="52" customFormat="1" ht="12.2" customHeight="1" x14ac:dyDescent="0.2">
      <c r="A482" s="173"/>
      <c r="B482" s="111"/>
      <c r="C482" s="111"/>
      <c r="D482" s="111"/>
      <c r="E482" s="111"/>
      <c r="F482" s="111"/>
      <c r="G482" s="111"/>
      <c r="H482" s="111"/>
      <c r="I482" s="111" t="s">
        <v>650</v>
      </c>
      <c r="J482" s="111"/>
      <c r="K482" s="94"/>
      <c r="L482" s="94"/>
      <c r="N482" s="261"/>
    </row>
    <row r="483" spans="1:14" s="52" customFormat="1" ht="12.2" customHeight="1" x14ac:dyDescent="0.2">
      <c r="A483" s="94" t="s">
        <v>696</v>
      </c>
      <c r="B483" s="111"/>
      <c r="C483" s="111"/>
      <c r="D483" s="111"/>
      <c r="E483" s="111"/>
      <c r="F483" s="111"/>
      <c r="G483" s="111"/>
      <c r="H483" s="111"/>
      <c r="I483" s="111" t="s">
        <v>473</v>
      </c>
      <c r="J483" s="111"/>
      <c r="K483" s="94"/>
      <c r="L483" s="94"/>
      <c r="N483" s="261"/>
    </row>
    <row r="484" spans="1:14" s="52" customFormat="1" ht="12.2" customHeight="1" x14ac:dyDescent="0.2">
      <c r="A484" s="172"/>
      <c r="B484" s="111"/>
      <c r="C484" s="111"/>
      <c r="D484" s="111"/>
      <c r="E484" s="111"/>
      <c r="F484" s="111"/>
      <c r="G484" s="111"/>
      <c r="H484" s="111"/>
      <c r="I484" s="111" t="s">
        <v>18</v>
      </c>
      <c r="J484" s="111"/>
      <c r="K484" s="94"/>
      <c r="L484" s="94"/>
      <c r="N484" s="261"/>
    </row>
    <row r="485" spans="1:14" s="52" customFormat="1" ht="12.2" customHeight="1" x14ac:dyDescent="0.2">
      <c r="A485" s="172"/>
      <c r="B485" s="111"/>
      <c r="C485" s="111"/>
      <c r="D485" s="111"/>
      <c r="E485" s="111"/>
      <c r="F485" s="111"/>
      <c r="G485" s="111"/>
      <c r="H485" s="111"/>
      <c r="I485" s="111" t="s">
        <v>474</v>
      </c>
      <c r="J485" s="111"/>
      <c r="K485" s="94"/>
      <c r="L485" s="94"/>
      <c r="N485" s="261"/>
    </row>
    <row r="486" spans="1:14" s="52" customFormat="1" ht="12.2" customHeight="1" x14ac:dyDescent="0.2">
      <c r="A486" s="172"/>
      <c r="B486" s="111"/>
      <c r="C486" s="111"/>
      <c r="D486" s="111"/>
      <c r="E486" s="111"/>
      <c r="F486" s="111"/>
      <c r="G486" s="111"/>
      <c r="H486" s="111"/>
      <c r="I486" s="111" t="s">
        <v>475</v>
      </c>
      <c r="J486" s="111"/>
      <c r="K486" s="94"/>
      <c r="L486" s="94"/>
      <c r="N486" s="261"/>
    </row>
    <row r="487" spans="1:14" s="52" customFormat="1" ht="12.2" customHeight="1" x14ac:dyDescent="0.2">
      <c r="A487" s="22"/>
      <c r="B487" s="111"/>
      <c r="C487" s="111"/>
      <c r="D487" s="111"/>
      <c r="E487" s="111"/>
      <c r="F487" s="111"/>
      <c r="G487" s="111"/>
      <c r="H487" s="111"/>
      <c r="I487" s="111"/>
      <c r="J487" s="111"/>
      <c r="K487" s="94"/>
      <c r="L487" s="94"/>
      <c r="N487" s="261"/>
    </row>
    <row r="488" spans="1:14" s="52" customFormat="1" ht="12.2" customHeight="1" x14ac:dyDescent="0.2">
      <c r="A488" s="95" t="s">
        <v>19</v>
      </c>
      <c r="B488" s="104"/>
      <c r="C488" s="114"/>
      <c r="D488" s="114"/>
      <c r="E488" s="114"/>
      <c r="F488" s="115"/>
      <c r="G488" s="115"/>
      <c r="H488" s="115"/>
      <c r="I488" s="115"/>
      <c r="J488" s="115"/>
      <c r="K488" s="115"/>
      <c r="L488" s="115"/>
      <c r="N488" s="261"/>
    </row>
    <row r="489" spans="1:14" s="52" customFormat="1" ht="12.2" customHeight="1" x14ac:dyDescent="0.2">
      <c r="A489" s="345" t="s">
        <v>1665</v>
      </c>
      <c r="B489" s="104"/>
      <c r="C489" s="114"/>
      <c r="D489" s="114"/>
      <c r="E489" s="114"/>
      <c r="F489" s="15" t="s">
        <v>264</v>
      </c>
      <c r="G489" s="15" t="s">
        <v>265</v>
      </c>
      <c r="H489" s="15" t="s">
        <v>266</v>
      </c>
      <c r="I489" s="15" t="s">
        <v>267</v>
      </c>
      <c r="J489" s="15" t="s">
        <v>268</v>
      </c>
      <c r="K489" s="15" t="s">
        <v>269</v>
      </c>
      <c r="L489" s="115"/>
      <c r="N489" s="261"/>
    </row>
    <row r="490" spans="1:14" s="52" customFormat="1" ht="12.2" customHeight="1" x14ac:dyDescent="0.2">
      <c r="A490" s="95" t="s">
        <v>21</v>
      </c>
      <c r="B490" s="104"/>
      <c r="C490" s="114"/>
      <c r="D490" s="114"/>
      <c r="E490" s="114"/>
      <c r="F490" s="116" t="s">
        <v>22</v>
      </c>
      <c r="G490" s="116" t="s">
        <v>23</v>
      </c>
      <c r="H490" s="116" t="s">
        <v>24</v>
      </c>
      <c r="I490" s="116" t="s">
        <v>25</v>
      </c>
      <c r="J490" s="116" t="s">
        <v>26</v>
      </c>
      <c r="K490" s="116" t="s">
        <v>340</v>
      </c>
      <c r="L490" s="115"/>
      <c r="N490" s="261"/>
    </row>
    <row r="491" spans="1:14" s="52" customFormat="1" ht="12.2" customHeight="1" x14ac:dyDescent="0.2">
      <c r="A491" s="22" t="s">
        <v>614</v>
      </c>
      <c r="B491" s="74">
        <v>20</v>
      </c>
      <c r="C491" s="114">
        <v>1</v>
      </c>
      <c r="D491" s="2" t="s">
        <v>432</v>
      </c>
      <c r="E491" s="114"/>
      <c r="F491" s="152"/>
      <c r="G491" s="152"/>
      <c r="H491" s="152"/>
      <c r="I491" s="152"/>
      <c r="J491" s="152"/>
      <c r="K491" s="24" t="s">
        <v>288</v>
      </c>
      <c r="L491" s="24" t="s">
        <v>288</v>
      </c>
      <c r="N491" s="261"/>
    </row>
    <row r="492" spans="1:14" s="52" customFormat="1" ht="12.2" customHeight="1" x14ac:dyDescent="0.2">
      <c r="A492" s="22" t="s">
        <v>615</v>
      </c>
      <c r="B492" s="74">
        <v>20</v>
      </c>
      <c r="C492" s="114">
        <v>2</v>
      </c>
      <c r="D492" s="2" t="s">
        <v>432</v>
      </c>
      <c r="E492" s="114"/>
      <c r="F492" s="153"/>
      <c r="G492" s="153"/>
      <c r="H492" s="152"/>
      <c r="I492" s="152"/>
      <c r="J492" s="152"/>
      <c r="K492" s="24" t="s">
        <v>288</v>
      </c>
      <c r="L492" s="24" t="s">
        <v>288</v>
      </c>
      <c r="N492" s="261"/>
    </row>
    <row r="493" spans="1:14" s="52" customFormat="1" ht="12.2" customHeight="1" x14ac:dyDescent="0.2">
      <c r="A493" s="22" t="s">
        <v>616</v>
      </c>
      <c r="B493" s="74">
        <v>20</v>
      </c>
      <c r="C493" s="114">
        <v>3</v>
      </c>
      <c r="D493" s="2" t="s">
        <v>432</v>
      </c>
      <c r="E493" s="114"/>
      <c r="F493" s="153"/>
      <c r="G493" s="153"/>
      <c r="H493" s="152"/>
      <c r="I493" s="152"/>
      <c r="J493" s="152"/>
      <c r="K493" s="24" t="s">
        <v>288</v>
      </c>
      <c r="L493" s="24" t="s">
        <v>288</v>
      </c>
      <c r="N493" s="261"/>
    </row>
    <row r="494" spans="1:14" s="52" customFormat="1" ht="12.2" customHeight="1" x14ac:dyDescent="0.2">
      <c r="A494" s="22" t="s">
        <v>617</v>
      </c>
      <c r="B494" s="74">
        <v>20</v>
      </c>
      <c r="C494" s="114">
        <v>4</v>
      </c>
      <c r="D494" s="2" t="s">
        <v>432</v>
      </c>
      <c r="E494" s="114"/>
      <c r="F494" s="18"/>
      <c r="G494" s="18"/>
      <c r="H494" s="18"/>
      <c r="I494" s="18"/>
      <c r="J494" s="18"/>
      <c r="K494" s="24" t="s">
        <v>288</v>
      </c>
      <c r="L494" s="24" t="s">
        <v>288</v>
      </c>
      <c r="N494" s="261"/>
    </row>
    <row r="495" spans="1:14" s="52" customFormat="1" ht="12.2" customHeight="1" x14ac:dyDescent="0.2">
      <c r="A495" s="22" t="s">
        <v>618</v>
      </c>
      <c r="B495" s="74">
        <v>20</v>
      </c>
      <c r="C495" s="114">
        <v>5</v>
      </c>
      <c r="D495" s="2" t="s">
        <v>432</v>
      </c>
      <c r="E495" s="114"/>
      <c r="F495" s="18"/>
      <c r="G495" s="18"/>
      <c r="H495" s="18"/>
      <c r="I495" s="18"/>
      <c r="J495" s="18"/>
      <c r="K495" s="24" t="s">
        <v>288</v>
      </c>
      <c r="L495" s="24" t="s">
        <v>288</v>
      </c>
      <c r="N495" s="261"/>
    </row>
    <row r="496" spans="1:14" s="52" customFormat="1" ht="12.2" customHeight="1" x14ac:dyDescent="0.2">
      <c r="A496" s="22" t="s">
        <v>619</v>
      </c>
      <c r="B496" s="74">
        <v>20</v>
      </c>
      <c r="C496" s="114">
        <v>6</v>
      </c>
      <c r="D496" s="2" t="s">
        <v>432</v>
      </c>
      <c r="E496" s="114"/>
      <c r="F496" s="18"/>
      <c r="G496" s="18"/>
      <c r="H496" s="18"/>
      <c r="I496" s="18"/>
      <c r="J496" s="18"/>
      <c r="K496" s="53">
        <f>SUM(F496:J496)</f>
        <v>0</v>
      </c>
      <c r="L496" s="24" t="s">
        <v>288</v>
      </c>
      <c r="N496" s="261"/>
    </row>
    <row r="497" spans="1:14" s="52" customFormat="1" ht="12.2" customHeight="1" x14ac:dyDescent="0.2">
      <c r="A497" s="22" t="s">
        <v>620</v>
      </c>
      <c r="B497" s="74">
        <v>20</v>
      </c>
      <c r="C497" s="114">
        <v>7</v>
      </c>
      <c r="D497" s="2" t="s">
        <v>432</v>
      </c>
      <c r="E497" s="114"/>
      <c r="F497" s="18"/>
      <c r="G497" s="18"/>
      <c r="H497" s="18"/>
      <c r="I497" s="18"/>
      <c r="J497" s="18"/>
      <c r="K497" s="53">
        <f t="shared" ref="K497:K504" si="36">SUM(F497:J497)</f>
        <v>0</v>
      </c>
      <c r="L497" s="24" t="s">
        <v>288</v>
      </c>
      <c r="N497" s="261"/>
    </row>
    <row r="498" spans="1:14" s="52" customFormat="1" ht="12.2" customHeight="1" x14ac:dyDescent="0.2">
      <c r="A498" s="22" t="s">
        <v>621</v>
      </c>
      <c r="B498" s="74">
        <v>20</v>
      </c>
      <c r="C498" s="114">
        <v>8</v>
      </c>
      <c r="D498" s="2" t="s">
        <v>432</v>
      </c>
      <c r="E498" s="114"/>
      <c r="F498" s="18"/>
      <c r="G498" s="18"/>
      <c r="H498" s="18"/>
      <c r="I498" s="18"/>
      <c r="J498" s="18"/>
      <c r="K498" s="53">
        <f t="shared" si="36"/>
        <v>0</v>
      </c>
      <c r="L498" s="24" t="s">
        <v>288</v>
      </c>
      <c r="N498" s="261"/>
    </row>
    <row r="499" spans="1:14" s="52" customFormat="1" ht="12.2" customHeight="1" x14ac:dyDescent="0.2">
      <c r="A499" s="198" t="s">
        <v>622</v>
      </c>
      <c r="B499" s="199">
        <v>20</v>
      </c>
      <c r="C499" s="200">
        <v>9</v>
      </c>
      <c r="D499" s="201" t="s">
        <v>432</v>
      </c>
      <c r="E499" s="200"/>
      <c r="F499" s="202">
        <v>0</v>
      </c>
      <c r="G499" s="202">
        <v>0</v>
      </c>
      <c r="H499" s="202">
        <v>0</v>
      </c>
      <c r="I499" s="202">
        <v>0</v>
      </c>
      <c r="J499" s="202">
        <v>0</v>
      </c>
      <c r="K499" s="203">
        <f t="shared" si="36"/>
        <v>0</v>
      </c>
      <c r="L499" s="204" t="s">
        <v>288</v>
      </c>
      <c r="N499" s="261"/>
    </row>
    <row r="500" spans="1:14" s="52" customFormat="1" ht="12.2" customHeight="1" thickBot="1" x14ac:dyDescent="0.25">
      <c r="A500" s="22" t="s">
        <v>623</v>
      </c>
      <c r="B500" s="74">
        <v>20</v>
      </c>
      <c r="C500" s="114">
        <v>10</v>
      </c>
      <c r="D500" s="2" t="s">
        <v>432</v>
      </c>
      <c r="E500" s="114"/>
      <c r="F500" s="18">
        <v>0</v>
      </c>
      <c r="G500" s="18">
        <v>0</v>
      </c>
      <c r="H500" s="18">
        <v>0</v>
      </c>
      <c r="I500" s="18">
        <v>0</v>
      </c>
      <c r="J500" s="18">
        <v>0</v>
      </c>
      <c r="K500" s="53">
        <f t="shared" si="36"/>
        <v>0</v>
      </c>
      <c r="L500" s="24" t="s">
        <v>288</v>
      </c>
      <c r="N500" s="261"/>
    </row>
    <row r="501" spans="1:14" s="52" customFormat="1" ht="12.2" customHeight="1" thickTop="1" x14ac:dyDescent="0.2">
      <c r="A501" s="138" t="s">
        <v>624</v>
      </c>
      <c r="B501" s="44">
        <v>20</v>
      </c>
      <c r="C501" s="193">
        <v>11</v>
      </c>
      <c r="D501" s="39" t="s">
        <v>432</v>
      </c>
      <c r="E501" s="193"/>
      <c r="F501" s="42">
        <f>SUM(F499:F500)</f>
        <v>0</v>
      </c>
      <c r="G501" s="42">
        <f>SUM(G499:G500)</f>
        <v>0</v>
      </c>
      <c r="H501" s="42">
        <f>SUM(H499:H500)</f>
        <v>0</v>
      </c>
      <c r="I501" s="42">
        <f>SUM(I499:I500)</f>
        <v>0</v>
      </c>
      <c r="J501" s="42">
        <f>SUM(J499:J500)</f>
        <v>0</v>
      </c>
      <c r="K501" s="42">
        <f t="shared" si="36"/>
        <v>0</v>
      </c>
      <c r="L501" s="45" t="s">
        <v>288</v>
      </c>
      <c r="N501" s="261"/>
    </row>
    <row r="502" spans="1:14" s="52" customFormat="1" ht="12.2" customHeight="1" x14ac:dyDescent="0.2">
      <c r="A502" s="198" t="s">
        <v>651</v>
      </c>
      <c r="B502" s="199">
        <v>20</v>
      </c>
      <c r="C502" s="200">
        <v>12</v>
      </c>
      <c r="D502" s="201" t="s">
        <v>432</v>
      </c>
      <c r="E502" s="200"/>
      <c r="F502" s="202">
        <v>0</v>
      </c>
      <c r="G502" s="202">
        <v>0</v>
      </c>
      <c r="H502" s="202">
        <v>0</v>
      </c>
      <c r="I502" s="202">
        <v>0</v>
      </c>
      <c r="J502" s="202">
        <v>0</v>
      </c>
      <c r="K502" s="203">
        <f t="shared" si="36"/>
        <v>0</v>
      </c>
      <c r="L502" s="204" t="s">
        <v>288</v>
      </c>
      <c r="N502" s="261"/>
    </row>
    <row r="503" spans="1:14" s="52" customFormat="1" ht="12.2" customHeight="1" thickBot="1" x14ac:dyDescent="0.25">
      <c r="A503" s="22" t="s">
        <v>625</v>
      </c>
      <c r="B503" s="74">
        <v>20</v>
      </c>
      <c r="C503" s="114">
        <v>13</v>
      </c>
      <c r="D503" s="2" t="s">
        <v>432</v>
      </c>
      <c r="E503" s="114"/>
      <c r="F503" s="18">
        <v>0</v>
      </c>
      <c r="G503" s="18">
        <v>0</v>
      </c>
      <c r="H503" s="18">
        <v>0</v>
      </c>
      <c r="I503" s="18">
        <v>0</v>
      </c>
      <c r="J503" s="18">
        <v>0</v>
      </c>
      <c r="K503" s="53">
        <f t="shared" si="36"/>
        <v>0</v>
      </c>
      <c r="L503" s="24" t="s">
        <v>288</v>
      </c>
      <c r="N503" s="261"/>
    </row>
    <row r="504" spans="1:14" s="52" customFormat="1" ht="12.2" customHeight="1" thickTop="1" x14ac:dyDescent="0.2">
      <c r="A504" s="138" t="s">
        <v>626</v>
      </c>
      <c r="B504" s="44">
        <v>20</v>
      </c>
      <c r="C504" s="193">
        <v>14</v>
      </c>
      <c r="D504" s="39" t="s">
        <v>432</v>
      </c>
      <c r="E504" s="193"/>
      <c r="F504" s="42">
        <f>SUM(F502:F503)</f>
        <v>0</v>
      </c>
      <c r="G504" s="42">
        <f>SUM(G502:G503)</f>
        <v>0</v>
      </c>
      <c r="H504" s="42">
        <f>SUM(H502:H503)</f>
        <v>0</v>
      </c>
      <c r="I504" s="42">
        <f>SUM(I502:I503)</f>
        <v>0</v>
      </c>
      <c r="J504" s="42">
        <f>SUM(J502:J503)</f>
        <v>0</v>
      </c>
      <c r="K504" s="42">
        <f t="shared" si="36"/>
        <v>0</v>
      </c>
      <c r="L504" s="45" t="s">
        <v>288</v>
      </c>
      <c r="N504" s="261"/>
    </row>
    <row r="505" spans="1:14" s="52" customFormat="1" ht="12.2" customHeight="1" x14ac:dyDescent="0.2">
      <c r="A505" s="95"/>
      <c r="B505" s="104"/>
      <c r="C505" s="114"/>
      <c r="D505" s="114"/>
      <c r="E505" s="114"/>
      <c r="F505" s="102"/>
      <c r="G505" s="102"/>
      <c r="H505" s="105"/>
      <c r="I505" s="105"/>
      <c r="J505" s="105"/>
      <c r="K505" s="105"/>
      <c r="L505" s="105"/>
      <c r="N505" s="261"/>
    </row>
    <row r="506" spans="1:14" s="52" customFormat="1" ht="12.2" customHeight="1" x14ac:dyDescent="0.2">
      <c r="C506" s="114"/>
      <c r="D506" s="114"/>
      <c r="E506" s="114"/>
      <c r="F506" s="102"/>
      <c r="G506" s="102"/>
      <c r="H506" s="105"/>
      <c r="I506" s="105"/>
      <c r="J506" s="105"/>
      <c r="K506" s="105"/>
      <c r="L506" s="105"/>
      <c r="N506" s="261"/>
    </row>
    <row r="507" spans="1:14" s="52" customFormat="1" ht="12.2" customHeight="1" x14ac:dyDescent="0.2">
      <c r="B507" s="104"/>
      <c r="F507" s="52" t="s">
        <v>41</v>
      </c>
      <c r="G507" s="102" t="s">
        <v>42</v>
      </c>
      <c r="H507" s="102" t="s">
        <v>43</v>
      </c>
      <c r="I507" s="105" t="s">
        <v>44</v>
      </c>
      <c r="J507" s="24" t="s">
        <v>288</v>
      </c>
      <c r="K507" s="24" t="s">
        <v>288</v>
      </c>
      <c r="L507" s="24" t="s">
        <v>288</v>
      </c>
      <c r="N507" s="261"/>
    </row>
    <row r="508" spans="1:14" s="52" customFormat="1" ht="12.2" customHeight="1" x14ac:dyDescent="0.2">
      <c r="A508" s="95" t="s">
        <v>40</v>
      </c>
      <c r="B508" s="104">
        <v>20</v>
      </c>
      <c r="C508" s="114">
        <v>15</v>
      </c>
      <c r="D508" s="2" t="s">
        <v>432</v>
      </c>
      <c r="E508" s="114"/>
      <c r="F508" s="143">
        <v>0</v>
      </c>
      <c r="G508" s="143">
        <v>0</v>
      </c>
      <c r="H508" s="143">
        <v>0</v>
      </c>
      <c r="I508" s="143">
        <v>0</v>
      </c>
      <c r="J508" s="24" t="s">
        <v>288</v>
      </c>
      <c r="K508" s="24" t="s">
        <v>288</v>
      </c>
      <c r="L508" s="24" t="s">
        <v>288</v>
      </c>
      <c r="N508" s="261"/>
    </row>
    <row r="509" spans="1:14" s="52" customFormat="1" ht="12.2" customHeight="1" x14ac:dyDescent="0.2">
      <c r="A509" s="95" t="s">
        <v>45</v>
      </c>
      <c r="B509" s="22"/>
      <c r="C509" s="22"/>
      <c r="D509" s="22"/>
      <c r="E509" s="22"/>
      <c r="F509" s="22"/>
      <c r="G509" s="22"/>
      <c r="H509" s="22"/>
      <c r="I509" s="22"/>
      <c r="J509" s="53"/>
      <c r="K509" s="53"/>
      <c r="L509" s="53"/>
      <c r="N509" s="261"/>
    </row>
    <row r="510" spans="1:14" s="52" customFormat="1" ht="12.2" customHeight="1" x14ac:dyDescent="0.2">
      <c r="A510" s="345" t="s">
        <v>1627</v>
      </c>
      <c r="B510" s="22"/>
      <c r="C510" s="22"/>
      <c r="D510" s="22"/>
      <c r="E510" s="22"/>
      <c r="F510" s="121" t="s">
        <v>46</v>
      </c>
      <c r="G510" s="121"/>
      <c r="H510" s="122" t="s">
        <v>47</v>
      </c>
      <c r="I510" s="122"/>
      <c r="J510" s="53"/>
      <c r="K510" s="53"/>
      <c r="L510" s="53"/>
      <c r="N510" s="261"/>
    </row>
    <row r="511" spans="1:14" s="52" customFormat="1" ht="12.2" customHeight="1" x14ac:dyDescent="0.2">
      <c r="A511" s="95"/>
      <c r="B511" s="22"/>
      <c r="C511" s="22"/>
      <c r="D511" s="22"/>
      <c r="E511" s="22"/>
      <c r="F511" s="112" t="s">
        <v>48</v>
      </c>
      <c r="G511" s="112" t="s">
        <v>49</v>
      </c>
      <c r="H511" s="113" t="s">
        <v>48</v>
      </c>
      <c r="I511" s="113" t="s">
        <v>49</v>
      </c>
      <c r="J511" s="53"/>
      <c r="K511" s="53"/>
      <c r="L511" s="53"/>
      <c r="N511" s="261"/>
    </row>
    <row r="512" spans="1:14" s="52" customFormat="1" ht="12.2" customHeight="1" x14ac:dyDescent="0.2">
      <c r="A512" s="22" t="s">
        <v>627</v>
      </c>
      <c r="B512" s="74">
        <v>20</v>
      </c>
      <c r="C512" s="114">
        <v>16</v>
      </c>
      <c r="D512" s="2" t="s">
        <v>432</v>
      </c>
      <c r="E512" s="114">
        <v>210</v>
      </c>
      <c r="F512" s="18">
        <v>0</v>
      </c>
      <c r="G512" s="24" t="s">
        <v>288</v>
      </c>
      <c r="H512" s="18">
        <v>0</v>
      </c>
      <c r="I512" s="24" t="s">
        <v>288</v>
      </c>
      <c r="J512" s="24" t="s">
        <v>288</v>
      </c>
      <c r="K512" s="24" t="s">
        <v>288</v>
      </c>
      <c r="L512" s="24" t="s">
        <v>288</v>
      </c>
      <c r="N512" s="261"/>
    </row>
    <row r="513" spans="1:14" s="52" customFormat="1" ht="12.2" customHeight="1" x14ac:dyDescent="0.2">
      <c r="A513" s="22" t="s">
        <v>628</v>
      </c>
      <c r="B513" s="74">
        <v>20</v>
      </c>
      <c r="C513" s="114">
        <v>17</v>
      </c>
      <c r="D513" s="2" t="s">
        <v>432</v>
      </c>
      <c r="E513" s="114">
        <v>220</v>
      </c>
      <c r="F513" s="18">
        <v>0</v>
      </c>
      <c r="G513" s="24" t="s">
        <v>288</v>
      </c>
      <c r="H513" s="18">
        <v>0</v>
      </c>
      <c r="I513" s="24" t="s">
        <v>288</v>
      </c>
      <c r="J513" s="24" t="s">
        <v>288</v>
      </c>
      <c r="K513" s="24" t="s">
        <v>288</v>
      </c>
      <c r="L513" s="24" t="s">
        <v>288</v>
      </c>
      <c r="N513" s="261"/>
    </row>
    <row r="514" spans="1:14" s="52" customFormat="1" ht="12.2" customHeight="1" x14ac:dyDescent="0.2">
      <c r="A514" s="22" t="s">
        <v>629</v>
      </c>
      <c r="B514" s="74">
        <v>20</v>
      </c>
      <c r="C514" s="114">
        <v>18</v>
      </c>
      <c r="D514" s="2" t="s">
        <v>432</v>
      </c>
      <c r="E514" s="114">
        <v>230</v>
      </c>
      <c r="F514" s="18">
        <v>0</v>
      </c>
      <c r="G514" s="24" t="s">
        <v>288</v>
      </c>
      <c r="H514" s="18">
        <v>0</v>
      </c>
      <c r="I514" s="24" t="s">
        <v>288</v>
      </c>
      <c r="J514" s="24" t="s">
        <v>288</v>
      </c>
      <c r="K514" s="24" t="s">
        <v>288</v>
      </c>
      <c r="L514" s="24" t="s">
        <v>288</v>
      </c>
      <c r="N514" s="261"/>
    </row>
    <row r="515" spans="1:14" s="52" customFormat="1" ht="12.2" customHeight="1" x14ac:dyDescent="0.2">
      <c r="A515" s="22" t="s">
        <v>630</v>
      </c>
      <c r="B515" s="74">
        <v>20</v>
      </c>
      <c r="C515" s="114">
        <v>19</v>
      </c>
      <c r="D515" s="2" t="s">
        <v>432</v>
      </c>
      <c r="E515" s="114">
        <v>240</v>
      </c>
      <c r="F515" s="18">
        <v>0</v>
      </c>
      <c r="G515" s="24" t="s">
        <v>288</v>
      </c>
      <c r="H515" s="18">
        <v>0</v>
      </c>
      <c r="I515" s="24" t="s">
        <v>288</v>
      </c>
      <c r="J515" s="24" t="s">
        <v>288</v>
      </c>
      <c r="K515" s="24" t="s">
        <v>288</v>
      </c>
      <c r="L515" s="24" t="s">
        <v>288</v>
      </c>
      <c r="N515" s="261"/>
    </row>
    <row r="516" spans="1:14" s="52" customFormat="1" ht="12.2" customHeight="1" x14ac:dyDescent="0.2">
      <c r="A516" s="22" t="s">
        <v>631</v>
      </c>
      <c r="B516" s="74">
        <v>20</v>
      </c>
      <c r="C516" s="114">
        <v>20</v>
      </c>
      <c r="D516" s="2" t="s">
        <v>432</v>
      </c>
      <c r="E516" s="114">
        <v>250</v>
      </c>
      <c r="F516" s="18">
        <v>0</v>
      </c>
      <c r="G516" s="24" t="s">
        <v>288</v>
      </c>
      <c r="H516" s="18">
        <v>0</v>
      </c>
      <c r="I516" s="24" t="s">
        <v>288</v>
      </c>
      <c r="J516" s="24" t="s">
        <v>288</v>
      </c>
      <c r="K516" s="24" t="s">
        <v>288</v>
      </c>
      <c r="L516" s="24" t="s">
        <v>288</v>
      </c>
      <c r="N516" s="261"/>
    </row>
    <row r="517" spans="1:14" s="52" customFormat="1" ht="12.2" customHeight="1" thickBot="1" x14ac:dyDescent="0.25">
      <c r="A517" s="22" t="s">
        <v>632</v>
      </c>
      <c r="B517" s="74">
        <v>20</v>
      </c>
      <c r="C517" s="114">
        <v>21</v>
      </c>
      <c r="D517" s="2" t="s">
        <v>432</v>
      </c>
      <c r="E517" s="114">
        <v>710</v>
      </c>
      <c r="F517" s="24" t="s">
        <v>288</v>
      </c>
      <c r="G517" s="18">
        <v>0</v>
      </c>
      <c r="H517" s="24" t="s">
        <v>288</v>
      </c>
      <c r="I517" s="18">
        <v>0</v>
      </c>
      <c r="J517" s="24" t="s">
        <v>288</v>
      </c>
      <c r="K517" s="24" t="s">
        <v>288</v>
      </c>
      <c r="L517" s="24" t="s">
        <v>288</v>
      </c>
      <c r="N517" s="261"/>
    </row>
    <row r="518" spans="1:14" s="52" customFormat="1" ht="12.2" customHeight="1" thickTop="1" x14ac:dyDescent="0.2">
      <c r="A518" s="95" t="s">
        <v>427</v>
      </c>
      <c r="B518" s="74">
        <v>20</v>
      </c>
      <c r="C518" s="114">
        <v>22</v>
      </c>
      <c r="D518" s="2" t="s">
        <v>432</v>
      </c>
      <c r="E518" s="114"/>
      <c r="F518" s="42">
        <f>SUM(F512:F517)</f>
        <v>0</v>
      </c>
      <c r="G518" s="42">
        <f>SUM(G512:G517)</f>
        <v>0</v>
      </c>
      <c r="H518" s="42">
        <f>SUM(H512:H517)</f>
        <v>0</v>
      </c>
      <c r="I518" s="42">
        <f>SUM(I512:I517)</f>
        <v>0</v>
      </c>
      <c r="J518" s="24" t="s">
        <v>288</v>
      </c>
      <c r="K518" s="24" t="s">
        <v>288</v>
      </c>
      <c r="L518" s="24" t="s">
        <v>288</v>
      </c>
      <c r="N518" s="261"/>
    </row>
    <row r="519" spans="1:14" s="52" customFormat="1" ht="12.2" customHeight="1" x14ac:dyDescent="0.2">
      <c r="A519" s="95" t="s">
        <v>698</v>
      </c>
      <c r="B519" s="104"/>
      <c r="C519" s="114"/>
      <c r="D519" s="114"/>
      <c r="E519" s="114"/>
      <c r="F519" s="175" t="s">
        <v>689</v>
      </c>
      <c r="G519" s="175" t="s">
        <v>690</v>
      </c>
      <c r="H519" s="175" t="s">
        <v>691</v>
      </c>
      <c r="I519" s="175" t="s">
        <v>692</v>
      </c>
      <c r="J519" s="175" t="s">
        <v>693</v>
      </c>
      <c r="K519" s="175" t="s">
        <v>694</v>
      </c>
      <c r="L519" s="105"/>
      <c r="N519" s="261"/>
    </row>
    <row r="520" spans="1:14" s="52" customFormat="1" ht="12.2" customHeight="1" x14ac:dyDescent="0.2">
      <c r="A520" s="176" t="s">
        <v>697</v>
      </c>
      <c r="B520" s="104"/>
      <c r="C520" s="114"/>
      <c r="D520" s="114"/>
      <c r="E520" s="114"/>
      <c r="F520" s="102" t="s">
        <v>54</v>
      </c>
      <c r="G520" s="102" t="s">
        <v>55</v>
      </c>
      <c r="H520" s="105" t="s">
        <v>56</v>
      </c>
      <c r="I520" s="105" t="s">
        <v>57</v>
      </c>
      <c r="J520" s="105" t="s">
        <v>58</v>
      </c>
      <c r="K520" s="105" t="s">
        <v>59</v>
      </c>
      <c r="L520" s="105" t="s">
        <v>5</v>
      </c>
      <c r="N520" s="261"/>
    </row>
    <row r="521" spans="1:14" s="52" customFormat="1" ht="12.2" customHeight="1" x14ac:dyDescent="0.2">
      <c r="A521" s="95" t="s">
        <v>60</v>
      </c>
      <c r="B521" s="104"/>
      <c r="C521" s="114"/>
      <c r="D521" s="114"/>
      <c r="E521" s="114"/>
      <c r="F521" s="24" t="s">
        <v>288</v>
      </c>
      <c r="G521" s="24" t="s">
        <v>288</v>
      </c>
      <c r="H521" s="24" t="s">
        <v>288</v>
      </c>
      <c r="I521" s="24" t="s">
        <v>288</v>
      </c>
      <c r="J521" s="24" t="s">
        <v>288</v>
      </c>
      <c r="K521" s="24" t="s">
        <v>288</v>
      </c>
      <c r="L521" s="24" t="s">
        <v>288</v>
      </c>
      <c r="N521" s="261"/>
    </row>
    <row r="522" spans="1:14" s="52" customFormat="1" ht="12.2" customHeight="1" x14ac:dyDescent="0.2">
      <c r="A522" s="22" t="s">
        <v>633</v>
      </c>
      <c r="B522" s="104">
        <v>21</v>
      </c>
      <c r="C522" s="114">
        <v>1</v>
      </c>
      <c r="D522" s="2" t="s">
        <v>432</v>
      </c>
      <c r="E522" s="114"/>
      <c r="F522" s="18">
        <v>1265548.1615194806</v>
      </c>
      <c r="G522" s="18">
        <v>369861.68384415581</v>
      </c>
      <c r="H522" s="18">
        <v>437046.74131168833</v>
      </c>
      <c r="I522" s="18">
        <v>31286.333116883121</v>
      </c>
      <c r="J522" s="18">
        <v>659.98</v>
      </c>
      <c r="K522" s="18">
        <v>6604.7024025974015</v>
      </c>
      <c r="L522" s="87">
        <f>SUM(F522:K522)</f>
        <v>2111007.6021948052</v>
      </c>
      <c r="N522" s="261"/>
    </row>
    <row r="523" spans="1:14" s="52" customFormat="1" ht="12.2" customHeight="1" x14ac:dyDescent="0.2">
      <c r="A523" s="22" t="s">
        <v>634</v>
      </c>
      <c r="B523" s="104">
        <v>21</v>
      </c>
      <c r="C523" s="114">
        <v>2</v>
      </c>
      <c r="D523" s="2" t="s">
        <v>432</v>
      </c>
      <c r="E523" s="114"/>
      <c r="F523" s="18">
        <v>0</v>
      </c>
      <c r="G523" s="18">
        <v>0</v>
      </c>
      <c r="H523" s="18">
        <v>0</v>
      </c>
      <c r="I523" s="18">
        <v>0</v>
      </c>
      <c r="J523" s="18">
        <v>0</v>
      </c>
      <c r="K523" s="18">
        <v>0</v>
      </c>
      <c r="L523" s="87">
        <f>SUM(F523:K523)</f>
        <v>0</v>
      </c>
      <c r="N523" s="261"/>
    </row>
    <row r="524" spans="1:14" s="52" customFormat="1" ht="12.2" customHeight="1" thickBot="1" x14ac:dyDescent="0.25">
      <c r="A524" s="22" t="s">
        <v>635</v>
      </c>
      <c r="B524" s="104">
        <v>21</v>
      </c>
      <c r="C524" s="114">
        <v>3</v>
      </c>
      <c r="D524" s="2" t="s">
        <v>432</v>
      </c>
      <c r="E524" s="114"/>
      <c r="F524" s="18">
        <v>394936.84848051943</v>
      </c>
      <c r="G524" s="18">
        <v>147379.34615584413</v>
      </c>
      <c r="H524" s="18">
        <v>665730.42868831172</v>
      </c>
      <c r="I524" s="18">
        <v>11660.866883116882</v>
      </c>
      <c r="J524" s="18">
        <v>74.97</v>
      </c>
      <c r="K524" s="18">
        <v>3008.9475974025972</v>
      </c>
      <c r="L524" s="87">
        <f>SUM(F524:K524)</f>
        <v>1222791.4078051946</v>
      </c>
      <c r="N524" s="261"/>
    </row>
    <row r="525" spans="1:14" s="52" customFormat="1" ht="12.2" customHeight="1" thickTop="1" x14ac:dyDescent="0.2">
      <c r="A525" s="138" t="s">
        <v>63</v>
      </c>
      <c r="B525" s="106">
        <v>21</v>
      </c>
      <c r="C525" s="193">
        <v>4</v>
      </c>
      <c r="D525" s="194" t="s">
        <v>432</v>
      </c>
      <c r="E525" s="193"/>
      <c r="F525" s="107">
        <f>SUM(F522:F524)</f>
        <v>1660485.01</v>
      </c>
      <c r="G525" s="107">
        <f t="shared" ref="G525:L525" si="37">SUM(G522:G524)</f>
        <v>517241.02999999991</v>
      </c>
      <c r="H525" s="107">
        <f t="shared" si="37"/>
        <v>1102777.17</v>
      </c>
      <c r="I525" s="107">
        <f t="shared" si="37"/>
        <v>42947.200000000004</v>
      </c>
      <c r="J525" s="107">
        <f t="shared" si="37"/>
        <v>734.95</v>
      </c>
      <c r="K525" s="107">
        <f t="shared" si="37"/>
        <v>9613.6499999999978</v>
      </c>
      <c r="L525" s="88">
        <f t="shared" si="37"/>
        <v>3333799.01</v>
      </c>
      <c r="N525" s="261"/>
    </row>
    <row r="526" spans="1:14" s="3" customFormat="1" ht="12.2" customHeight="1" x14ac:dyDescent="0.15">
      <c r="A526" s="95" t="s">
        <v>64</v>
      </c>
      <c r="B526" s="104"/>
      <c r="C526" s="114"/>
      <c r="D526" s="114"/>
      <c r="E526" s="114"/>
      <c r="F526" s="24" t="s">
        <v>288</v>
      </c>
      <c r="G526" s="24" t="s">
        <v>288</v>
      </c>
      <c r="H526" s="24" t="s">
        <v>288</v>
      </c>
      <c r="I526" s="24" t="s">
        <v>288</v>
      </c>
      <c r="J526" s="24" t="s">
        <v>288</v>
      </c>
      <c r="K526" s="24" t="s">
        <v>288</v>
      </c>
      <c r="L526" s="24" t="s">
        <v>288</v>
      </c>
      <c r="M526" s="8"/>
      <c r="N526" s="262"/>
    </row>
    <row r="527" spans="1:14" s="3" customFormat="1" ht="12.2" customHeight="1" x14ac:dyDescent="0.15">
      <c r="A527" s="22" t="s">
        <v>633</v>
      </c>
      <c r="B527" s="104">
        <v>21</v>
      </c>
      <c r="C527" s="114">
        <v>5</v>
      </c>
      <c r="D527" s="2" t="s">
        <v>432</v>
      </c>
      <c r="E527" s="114"/>
      <c r="F527" s="18">
        <v>228794.73966233764</v>
      </c>
      <c r="G527" s="18">
        <v>90386.465168831157</v>
      </c>
      <c r="H527" s="18">
        <v>34182.039753246747</v>
      </c>
      <c r="I527" s="18">
        <v>2787.7338181818177</v>
      </c>
      <c r="J527" s="18">
        <v>127.70197402597401</v>
      </c>
      <c r="K527" s="18">
        <v>222.24183116883117</v>
      </c>
      <c r="L527" s="87">
        <f>SUM(F527:K527)</f>
        <v>356500.92220779217</v>
      </c>
      <c r="M527" s="8"/>
      <c r="N527" s="262"/>
    </row>
    <row r="528" spans="1:14" s="3" customFormat="1" ht="12.2" customHeight="1" x14ac:dyDescent="0.15">
      <c r="A528" s="22" t="s">
        <v>634</v>
      </c>
      <c r="B528" s="104">
        <v>21</v>
      </c>
      <c r="C528" s="114">
        <v>6</v>
      </c>
      <c r="D528" s="2" t="s">
        <v>432</v>
      </c>
      <c r="E528" s="114"/>
      <c r="F528" s="18">
        <v>0</v>
      </c>
      <c r="G528" s="18">
        <v>0</v>
      </c>
      <c r="H528" s="18">
        <v>0</v>
      </c>
      <c r="I528" s="18">
        <v>0</v>
      </c>
      <c r="J528" s="18">
        <v>0</v>
      </c>
      <c r="K528" s="18">
        <v>0</v>
      </c>
      <c r="L528" s="87">
        <f>SUM(F528:K528)</f>
        <v>0</v>
      </c>
      <c r="M528" s="8"/>
      <c r="N528" s="262"/>
    </row>
    <row r="529" spans="1:14" s="3" customFormat="1" ht="12.2" customHeight="1" thickBot="1" x14ac:dyDescent="0.2">
      <c r="A529" s="22" t="s">
        <v>635</v>
      </c>
      <c r="B529" s="117">
        <v>21</v>
      </c>
      <c r="C529" s="117">
        <v>7</v>
      </c>
      <c r="D529" s="2" t="s">
        <v>432</v>
      </c>
      <c r="E529" s="117"/>
      <c r="F529" s="18">
        <v>104233.52033766234</v>
      </c>
      <c r="G529" s="18">
        <v>41177.954831168834</v>
      </c>
      <c r="H529" s="18">
        <v>12537.380246753248</v>
      </c>
      <c r="I529" s="18">
        <v>1270.0261818181816</v>
      </c>
      <c r="J529" s="18">
        <v>58.178025974025971</v>
      </c>
      <c r="K529" s="18">
        <v>101.24816883116883</v>
      </c>
      <c r="L529" s="87">
        <f>SUM(F529:K529)</f>
        <v>159378.30779220781</v>
      </c>
      <c r="M529" s="8"/>
      <c r="N529" s="262"/>
    </row>
    <row r="530" spans="1:14" s="3" customFormat="1" ht="12.2" customHeight="1" thickTop="1" x14ac:dyDescent="0.15">
      <c r="A530" s="138" t="s">
        <v>65</v>
      </c>
      <c r="B530" s="106">
        <v>21</v>
      </c>
      <c r="C530" s="106">
        <v>8</v>
      </c>
      <c r="D530" s="156" t="s">
        <v>432</v>
      </c>
      <c r="E530" s="106"/>
      <c r="F530" s="88">
        <f>SUM(F527:F529)</f>
        <v>333028.26</v>
      </c>
      <c r="G530" s="88">
        <f t="shared" ref="G530:L530" si="38">SUM(G527:G529)</f>
        <v>131564.41999999998</v>
      </c>
      <c r="H530" s="88">
        <f t="shared" si="38"/>
        <v>46719.42</v>
      </c>
      <c r="I530" s="88">
        <f t="shared" si="38"/>
        <v>4057.7599999999993</v>
      </c>
      <c r="J530" s="88">
        <f t="shared" si="38"/>
        <v>185.88</v>
      </c>
      <c r="K530" s="88">
        <f t="shared" si="38"/>
        <v>323.49</v>
      </c>
      <c r="L530" s="88">
        <f t="shared" si="38"/>
        <v>515879.23</v>
      </c>
      <c r="M530" s="8"/>
      <c r="N530" s="262"/>
    </row>
    <row r="531" spans="1:14" s="3" customFormat="1" ht="12.2" customHeight="1" x14ac:dyDescent="0.15">
      <c r="A531" s="96" t="s">
        <v>66</v>
      </c>
      <c r="B531" s="104"/>
      <c r="C531" s="104"/>
      <c r="D531" s="104"/>
      <c r="E531" s="104"/>
      <c r="F531" s="24" t="s">
        <v>288</v>
      </c>
      <c r="G531" s="24" t="s">
        <v>288</v>
      </c>
      <c r="H531" s="24" t="s">
        <v>288</v>
      </c>
      <c r="I531" s="24" t="s">
        <v>288</v>
      </c>
      <c r="J531" s="24" t="s">
        <v>288</v>
      </c>
      <c r="K531" s="24" t="s">
        <v>288</v>
      </c>
      <c r="L531" s="24" t="s">
        <v>288</v>
      </c>
      <c r="M531" s="8"/>
      <c r="N531" s="262"/>
    </row>
    <row r="532" spans="1:14" s="3" customFormat="1" ht="12.2" customHeight="1" x14ac:dyDescent="0.15">
      <c r="A532" s="22" t="s">
        <v>633</v>
      </c>
      <c r="B532" s="104">
        <v>21</v>
      </c>
      <c r="C532" s="104">
        <v>9</v>
      </c>
      <c r="D532" s="2" t="s">
        <v>432</v>
      </c>
      <c r="E532" s="104"/>
      <c r="F532" s="18">
        <v>114328.17618181817</v>
      </c>
      <c r="G532" s="18">
        <v>28354.011894727271</v>
      </c>
      <c r="H532" s="18">
        <v>19.499000000000002</v>
      </c>
      <c r="I532" s="18">
        <v>62.75</v>
      </c>
      <c r="J532" s="18">
        <v>0</v>
      </c>
      <c r="K532" s="18">
        <v>0</v>
      </c>
      <c r="L532" s="87">
        <f>SUM(F532:K532)</f>
        <v>142764.43707654544</v>
      </c>
      <c r="M532" s="8"/>
      <c r="N532" s="262"/>
    </row>
    <row r="533" spans="1:14" s="3" customFormat="1" ht="12.2" customHeight="1" x14ac:dyDescent="0.15">
      <c r="A533" s="22" t="s">
        <v>634</v>
      </c>
      <c r="B533" s="104">
        <v>21</v>
      </c>
      <c r="C533" s="104">
        <v>10</v>
      </c>
      <c r="D533" s="2" t="s">
        <v>432</v>
      </c>
      <c r="E533" s="104"/>
      <c r="F533" s="18">
        <v>0</v>
      </c>
      <c r="G533" s="18">
        <v>0</v>
      </c>
      <c r="H533" s="18">
        <v>0</v>
      </c>
      <c r="I533" s="18">
        <v>0</v>
      </c>
      <c r="J533" s="18">
        <v>0</v>
      </c>
      <c r="K533" s="18">
        <v>0</v>
      </c>
      <c r="L533" s="87">
        <f>SUM(F533:K533)</f>
        <v>0</v>
      </c>
      <c r="M533" s="8"/>
      <c r="N533" s="262"/>
    </row>
    <row r="534" spans="1:14" s="3" customFormat="1" ht="12.2" customHeight="1" thickBot="1" x14ac:dyDescent="0.2">
      <c r="A534" s="22" t="s">
        <v>635</v>
      </c>
      <c r="B534" s="104">
        <v>21</v>
      </c>
      <c r="C534" s="104">
        <v>11</v>
      </c>
      <c r="D534" s="2" t="s">
        <v>432</v>
      </c>
      <c r="E534" s="104"/>
      <c r="F534" s="18">
        <v>50878.150818181814</v>
      </c>
      <c r="G534" s="18">
        <v>11776.451965272729</v>
      </c>
      <c r="H534" s="18">
        <v>6.5</v>
      </c>
      <c r="I534" s="18">
        <v>107.66500000000002</v>
      </c>
      <c r="J534" s="18">
        <v>0</v>
      </c>
      <c r="K534" s="18">
        <v>0</v>
      </c>
      <c r="L534" s="87">
        <f>SUM(F534:K534)</f>
        <v>62768.767783454539</v>
      </c>
      <c r="M534" s="8"/>
      <c r="N534" s="262"/>
    </row>
    <row r="535" spans="1:14" s="3" customFormat="1" ht="12.2" customHeight="1" thickTop="1" x14ac:dyDescent="0.15">
      <c r="A535" s="138" t="s">
        <v>67</v>
      </c>
      <c r="B535" s="106">
        <v>21</v>
      </c>
      <c r="C535" s="106">
        <v>12</v>
      </c>
      <c r="D535" s="156" t="s">
        <v>432</v>
      </c>
      <c r="E535" s="106"/>
      <c r="F535" s="88">
        <f>SUM(F532:F534)</f>
        <v>165206.32699999999</v>
      </c>
      <c r="G535" s="88">
        <f t="shared" ref="G535:L535" si="39">SUM(G532:G534)</f>
        <v>40130.463860000003</v>
      </c>
      <c r="H535" s="88">
        <f t="shared" si="39"/>
        <v>25.999000000000002</v>
      </c>
      <c r="I535" s="88">
        <f t="shared" si="39"/>
        <v>170.41500000000002</v>
      </c>
      <c r="J535" s="88">
        <f t="shared" si="39"/>
        <v>0</v>
      </c>
      <c r="K535" s="88">
        <f t="shared" si="39"/>
        <v>0</v>
      </c>
      <c r="L535" s="88">
        <f t="shared" si="39"/>
        <v>205533.20485999997</v>
      </c>
      <c r="M535" s="8"/>
      <c r="N535" s="262"/>
    </row>
    <row r="536" spans="1:14" s="3" customFormat="1" ht="12.2" customHeight="1" x14ac:dyDescent="0.15">
      <c r="A536" s="96" t="s">
        <v>68</v>
      </c>
      <c r="B536" s="104"/>
      <c r="C536" s="104"/>
      <c r="D536" s="104"/>
      <c r="E536" s="104"/>
      <c r="F536" s="192" t="s">
        <v>288</v>
      </c>
      <c r="G536" s="192" t="s">
        <v>288</v>
      </c>
      <c r="H536" s="192" t="s">
        <v>288</v>
      </c>
      <c r="I536" s="192" t="s">
        <v>288</v>
      </c>
      <c r="J536" s="192" t="s">
        <v>288</v>
      </c>
      <c r="K536" s="192" t="s">
        <v>288</v>
      </c>
      <c r="L536" s="192" t="s">
        <v>288</v>
      </c>
      <c r="M536" s="8"/>
      <c r="N536" s="262"/>
    </row>
    <row r="537" spans="1:14" s="3" customFormat="1" ht="12.2" customHeight="1" x14ac:dyDescent="0.15">
      <c r="A537" s="22" t="s">
        <v>633</v>
      </c>
      <c r="B537" s="104">
        <v>21</v>
      </c>
      <c r="C537" s="104">
        <v>13</v>
      </c>
      <c r="D537" s="2" t="s">
        <v>432</v>
      </c>
      <c r="E537" s="104"/>
      <c r="F537" s="18">
        <v>0</v>
      </c>
      <c r="G537" s="18">
        <v>0</v>
      </c>
      <c r="H537" s="18">
        <v>1012.244935064935</v>
      </c>
      <c r="I537" s="18">
        <v>0</v>
      </c>
      <c r="J537" s="18">
        <v>0</v>
      </c>
      <c r="K537" s="18">
        <v>0</v>
      </c>
      <c r="L537" s="87">
        <f>SUM(F537:K537)</f>
        <v>1012.244935064935</v>
      </c>
      <c r="M537" s="8"/>
      <c r="N537" s="262"/>
    </row>
    <row r="538" spans="1:14" s="3" customFormat="1" ht="12.2" customHeight="1" x14ac:dyDescent="0.15">
      <c r="A538" s="22" t="s">
        <v>634</v>
      </c>
      <c r="B538" s="104">
        <v>21</v>
      </c>
      <c r="C538" s="104">
        <v>14</v>
      </c>
      <c r="D538" s="2" t="s">
        <v>432</v>
      </c>
      <c r="E538" s="104"/>
      <c r="F538" s="18">
        <v>0</v>
      </c>
      <c r="G538" s="18">
        <v>0</v>
      </c>
      <c r="H538" s="18">
        <v>0</v>
      </c>
      <c r="I538" s="18">
        <v>0</v>
      </c>
      <c r="J538" s="18">
        <v>0</v>
      </c>
      <c r="K538" s="18">
        <v>0</v>
      </c>
      <c r="L538" s="87">
        <f>SUM(F538:K538)</f>
        <v>0</v>
      </c>
      <c r="M538" s="8"/>
      <c r="N538" s="262"/>
    </row>
    <row r="539" spans="1:14" s="3" customFormat="1" ht="12.2" customHeight="1" thickBot="1" x14ac:dyDescent="0.2">
      <c r="A539" s="22" t="s">
        <v>635</v>
      </c>
      <c r="B539" s="104">
        <v>21</v>
      </c>
      <c r="C539" s="104">
        <v>15</v>
      </c>
      <c r="D539" s="2" t="s">
        <v>432</v>
      </c>
      <c r="E539" s="104"/>
      <c r="F539" s="18">
        <v>0</v>
      </c>
      <c r="G539" s="18">
        <v>0</v>
      </c>
      <c r="H539" s="18">
        <v>461.15506493506496</v>
      </c>
      <c r="I539" s="18">
        <v>0</v>
      </c>
      <c r="J539" s="18">
        <v>0</v>
      </c>
      <c r="K539" s="18">
        <v>0</v>
      </c>
      <c r="L539" s="87">
        <f>SUM(F539:K539)</f>
        <v>461.15506493506496</v>
      </c>
      <c r="M539" s="8"/>
      <c r="N539" s="262"/>
    </row>
    <row r="540" spans="1:14" s="3" customFormat="1" ht="12.2" customHeight="1" thickTop="1" x14ac:dyDescent="0.15">
      <c r="A540" s="138" t="s">
        <v>69</v>
      </c>
      <c r="B540" s="106">
        <v>21</v>
      </c>
      <c r="C540" s="106">
        <v>16</v>
      </c>
      <c r="D540" s="156" t="s">
        <v>432</v>
      </c>
      <c r="E540" s="106"/>
      <c r="F540" s="88">
        <f>SUM(F537:F539)</f>
        <v>0</v>
      </c>
      <c r="G540" s="88">
        <f t="shared" ref="G540:L540" si="40">SUM(G537:G539)</f>
        <v>0</v>
      </c>
      <c r="H540" s="88">
        <f t="shared" si="40"/>
        <v>1473.4</v>
      </c>
      <c r="I540" s="88">
        <f t="shared" si="40"/>
        <v>0</v>
      </c>
      <c r="J540" s="88">
        <f t="shared" si="40"/>
        <v>0</v>
      </c>
      <c r="K540" s="88">
        <f t="shared" si="40"/>
        <v>0</v>
      </c>
      <c r="L540" s="88">
        <f t="shared" si="40"/>
        <v>1473.4</v>
      </c>
      <c r="M540" s="8"/>
      <c r="N540" s="262"/>
    </row>
    <row r="541" spans="1:14" s="3" customFormat="1" ht="12.2" customHeight="1" x14ac:dyDescent="0.15">
      <c r="A541" s="96" t="s">
        <v>70</v>
      </c>
      <c r="B541" s="104"/>
      <c r="C541" s="104"/>
      <c r="D541" s="104"/>
      <c r="E541" s="104"/>
      <c r="F541" s="24" t="s">
        <v>288</v>
      </c>
      <c r="G541" s="24" t="s">
        <v>288</v>
      </c>
      <c r="H541" s="24" t="s">
        <v>288</v>
      </c>
      <c r="I541" s="24" t="s">
        <v>288</v>
      </c>
      <c r="J541" s="24" t="s">
        <v>288</v>
      </c>
      <c r="K541" s="24" t="s">
        <v>288</v>
      </c>
      <c r="L541" s="24" t="s">
        <v>288</v>
      </c>
      <c r="M541" s="8"/>
      <c r="N541" s="262"/>
    </row>
    <row r="542" spans="1:14" s="3" customFormat="1" ht="12.2" customHeight="1" x14ac:dyDescent="0.15">
      <c r="A542" s="22" t="s">
        <v>633</v>
      </c>
      <c r="B542" s="104">
        <v>21</v>
      </c>
      <c r="C542" s="104">
        <v>17</v>
      </c>
      <c r="D542" s="2" t="s">
        <v>432</v>
      </c>
      <c r="E542" s="104"/>
      <c r="F542" s="18">
        <v>26484.020883116878</v>
      </c>
      <c r="G542" s="18">
        <v>2536.6717922077924</v>
      </c>
      <c r="H542" s="18">
        <v>11807.89831168831</v>
      </c>
      <c r="I542" s="18">
        <v>0</v>
      </c>
      <c r="J542" s="18">
        <v>0</v>
      </c>
      <c r="K542" s="18">
        <v>0</v>
      </c>
      <c r="L542" s="87">
        <f>SUM(F542:K542)</f>
        <v>40828.590987012984</v>
      </c>
      <c r="M542" s="8"/>
      <c r="N542" s="262"/>
    </row>
    <row r="543" spans="1:14" s="3" customFormat="1" ht="12.2" customHeight="1" x14ac:dyDescent="0.15">
      <c r="A543" s="22" t="s">
        <v>634</v>
      </c>
      <c r="B543" s="104">
        <v>21</v>
      </c>
      <c r="C543" s="104">
        <v>18</v>
      </c>
      <c r="D543" s="2" t="s">
        <v>432</v>
      </c>
      <c r="E543" s="104"/>
      <c r="F543" s="18">
        <v>0</v>
      </c>
      <c r="G543" s="18">
        <v>0</v>
      </c>
      <c r="H543" s="18">
        <v>0</v>
      </c>
      <c r="I543" s="18">
        <v>0</v>
      </c>
      <c r="J543" s="18">
        <v>0</v>
      </c>
      <c r="K543" s="18">
        <v>0</v>
      </c>
      <c r="L543" s="87">
        <f>SUM(F543:K543)</f>
        <v>0</v>
      </c>
      <c r="M543" s="8"/>
      <c r="N543" s="262"/>
    </row>
    <row r="544" spans="1:14" s="3" customFormat="1" ht="12.2" customHeight="1" thickBot="1" x14ac:dyDescent="0.2">
      <c r="A544" s="22" t="s">
        <v>635</v>
      </c>
      <c r="B544" s="104">
        <v>21</v>
      </c>
      <c r="C544" s="104">
        <v>19</v>
      </c>
      <c r="D544" s="2" t="s">
        <v>432</v>
      </c>
      <c r="E544" s="104"/>
      <c r="F544" s="18">
        <v>12065.499116883115</v>
      </c>
      <c r="G544" s="18">
        <v>1155.6482077922078</v>
      </c>
      <c r="H544" s="18">
        <v>5379.4016883116883</v>
      </c>
      <c r="I544" s="18">
        <v>0</v>
      </c>
      <c r="J544" s="18">
        <v>0</v>
      </c>
      <c r="K544" s="18">
        <v>0</v>
      </c>
      <c r="L544" s="87">
        <f>SUM(F544:K544)</f>
        <v>18600.549012987012</v>
      </c>
      <c r="M544" s="8"/>
      <c r="N544" s="262"/>
    </row>
    <row r="545" spans="1:14" s="3" customFormat="1" ht="12.2" customHeight="1" thickTop="1" thickBot="1" x14ac:dyDescent="0.2">
      <c r="A545" s="129" t="s">
        <v>71</v>
      </c>
      <c r="B545" s="189">
        <v>21</v>
      </c>
      <c r="C545" s="189">
        <v>20</v>
      </c>
      <c r="D545" s="190" t="s">
        <v>432</v>
      </c>
      <c r="E545" s="189"/>
      <c r="F545" s="191">
        <f>SUM(F542:F544)</f>
        <v>38549.51999999999</v>
      </c>
      <c r="G545" s="191">
        <f t="shared" ref="G545:L545" si="41">SUM(G542:G544)</f>
        <v>3692.32</v>
      </c>
      <c r="H545" s="191">
        <f t="shared" si="41"/>
        <v>17187.3</v>
      </c>
      <c r="I545" s="191">
        <f t="shared" si="41"/>
        <v>0</v>
      </c>
      <c r="J545" s="191">
        <f t="shared" si="41"/>
        <v>0</v>
      </c>
      <c r="K545" s="191">
        <f t="shared" si="41"/>
        <v>0</v>
      </c>
      <c r="L545" s="191">
        <f t="shared" si="41"/>
        <v>59429.14</v>
      </c>
      <c r="M545" s="8"/>
      <c r="N545" s="262"/>
    </row>
    <row r="546" spans="1:14" s="3" customFormat="1" ht="12.2" customHeight="1" thickTop="1" x14ac:dyDescent="0.15">
      <c r="A546" s="97" t="s">
        <v>72</v>
      </c>
      <c r="B546" s="106">
        <v>21</v>
      </c>
      <c r="C546" s="106">
        <v>21</v>
      </c>
      <c r="D546" s="156" t="s">
        <v>432</v>
      </c>
      <c r="E546" s="106"/>
      <c r="F546" s="88">
        <f>F525+F530+F535+F540+F545</f>
        <v>2197269.1170000001</v>
      </c>
      <c r="G546" s="88">
        <f t="shared" ref="G546:L546" si="42">G525+G530+G535+G540+G545</f>
        <v>692628.23385999992</v>
      </c>
      <c r="H546" s="88">
        <f t="shared" si="42"/>
        <v>1168183.2889999999</v>
      </c>
      <c r="I546" s="88">
        <f t="shared" si="42"/>
        <v>47175.375000000007</v>
      </c>
      <c r="J546" s="88">
        <f t="shared" si="42"/>
        <v>920.83</v>
      </c>
      <c r="K546" s="88">
        <f t="shared" si="42"/>
        <v>9937.1399999999976</v>
      </c>
      <c r="L546" s="88">
        <f t="shared" si="42"/>
        <v>4116113.9848599997</v>
      </c>
      <c r="M546" s="8"/>
      <c r="N546" s="262"/>
    </row>
    <row r="547" spans="1:14" s="3" customFormat="1" ht="12.2" customHeight="1" x14ac:dyDescent="0.15">
      <c r="A547" s="98"/>
      <c r="B547" s="104"/>
      <c r="C547" s="104"/>
      <c r="D547" s="104"/>
      <c r="E547" s="104"/>
      <c r="F547" s="86"/>
      <c r="G547" s="86"/>
      <c r="H547" s="86"/>
      <c r="I547" s="86"/>
      <c r="J547" s="86"/>
      <c r="K547" s="86"/>
      <c r="L547" s="86"/>
      <c r="M547" s="8"/>
      <c r="N547" s="262"/>
    </row>
    <row r="548" spans="1:14" s="3" customFormat="1" ht="12.2" customHeight="1" x14ac:dyDescent="0.15">
      <c r="A548" s="99" t="s">
        <v>73</v>
      </c>
      <c r="B548" s="104"/>
      <c r="C548" s="104"/>
      <c r="D548" s="104"/>
      <c r="E548" s="104"/>
      <c r="F548" s="100" t="s">
        <v>74</v>
      </c>
      <c r="G548" s="86" t="s">
        <v>75</v>
      </c>
      <c r="H548" s="86" t="s">
        <v>76</v>
      </c>
      <c r="I548" s="100" t="s">
        <v>77</v>
      </c>
      <c r="J548" s="86" t="s">
        <v>78</v>
      </c>
      <c r="K548" s="100" t="s">
        <v>79</v>
      </c>
      <c r="L548" s="24" t="s">
        <v>288</v>
      </c>
      <c r="M548" s="8"/>
      <c r="N548" s="262"/>
    </row>
    <row r="549" spans="1:14" s="3" customFormat="1" ht="12.2" customHeight="1" x14ac:dyDescent="0.15">
      <c r="A549" s="99" t="s">
        <v>250</v>
      </c>
      <c r="B549" s="104"/>
      <c r="C549" s="104"/>
      <c r="D549" s="104"/>
      <c r="E549" s="104"/>
      <c r="F549" s="100" t="s">
        <v>80</v>
      </c>
      <c r="G549" s="100" t="s">
        <v>81</v>
      </c>
      <c r="H549" s="100" t="s">
        <v>82</v>
      </c>
      <c r="I549" s="100" t="s">
        <v>83</v>
      </c>
      <c r="J549" s="100" t="s">
        <v>84</v>
      </c>
      <c r="K549" s="86"/>
      <c r="L549" s="24" t="s">
        <v>288</v>
      </c>
      <c r="M549" s="8"/>
      <c r="N549" s="262"/>
    </row>
    <row r="550" spans="1:14" s="3" customFormat="1" ht="12.2" customHeight="1" x14ac:dyDescent="0.15">
      <c r="A550" s="22" t="s">
        <v>633</v>
      </c>
      <c r="B550" s="74">
        <v>21</v>
      </c>
      <c r="C550" s="74">
        <v>22</v>
      </c>
      <c r="D550" s="2" t="s">
        <v>432</v>
      </c>
      <c r="E550" s="74"/>
      <c r="F550" s="86">
        <f>L522</f>
        <v>2111007.6021948052</v>
      </c>
      <c r="G550" s="86">
        <f>L527</f>
        <v>356500.92220779217</v>
      </c>
      <c r="H550" s="86">
        <f>L532</f>
        <v>142764.43707654544</v>
      </c>
      <c r="I550" s="86">
        <f>L537</f>
        <v>1012.244935064935</v>
      </c>
      <c r="J550" s="86">
        <f>L542</f>
        <v>40828.590987012984</v>
      </c>
      <c r="K550" s="86">
        <f>SUM(F550:J550)</f>
        <v>2652113.797401221</v>
      </c>
      <c r="L550" s="24" t="s">
        <v>288</v>
      </c>
      <c r="M550" s="8"/>
      <c r="N550" s="262"/>
    </row>
    <row r="551" spans="1:14" s="3" customFormat="1" ht="12.2" customHeight="1" x14ac:dyDescent="0.15">
      <c r="A551" s="22" t="s">
        <v>634</v>
      </c>
      <c r="B551" s="74">
        <v>21</v>
      </c>
      <c r="C551" s="74">
        <v>23</v>
      </c>
      <c r="D551" s="2" t="s">
        <v>432</v>
      </c>
      <c r="E551" s="74"/>
      <c r="F551" s="86">
        <f>L523</f>
        <v>0</v>
      </c>
      <c r="G551" s="86">
        <f>L528</f>
        <v>0</v>
      </c>
      <c r="H551" s="86">
        <f>L533</f>
        <v>0</v>
      </c>
      <c r="I551" s="86">
        <f>L538</f>
        <v>0</v>
      </c>
      <c r="J551" s="86">
        <f>L543</f>
        <v>0</v>
      </c>
      <c r="K551" s="86">
        <f>SUM(F551:J551)</f>
        <v>0</v>
      </c>
      <c r="L551" s="24" t="s">
        <v>288</v>
      </c>
      <c r="M551" s="8"/>
      <c r="N551" s="262"/>
    </row>
    <row r="552" spans="1:14" s="3" customFormat="1" ht="12.2" customHeight="1" thickBot="1" x14ac:dyDescent="0.2">
      <c r="A552" s="22" t="s">
        <v>635</v>
      </c>
      <c r="B552" s="74">
        <v>21</v>
      </c>
      <c r="C552" s="74">
        <v>24</v>
      </c>
      <c r="D552" s="2" t="s">
        <v>432</v>
      </c>
      <c r="E552" s="74"/>
      <c r="F552" s="86">
        <f>L524</f>
        <v>1222791.4078051946</v>
      </c>
      <c r="G552" s="86">
        <f>L529</f>
        <v>159378.30779220781</v>
      </c>
      <c r="H552" s="86">
        <f>L534</f>
        <v>62768.767783454539</v>
      </c>
      <c r="I552" s="86">
        <f>L539</f>
        <v>461.15506493506496</v>
      </c>
      <c r="J552" s="86">
        <f>L544</f>
        <v>18600.549012987012</v>
      </c>
      <c r="K552" s="86">
        <f>SUM(F552:J552)</f>
        <v>1464000.187458779</v>
      </c>
      <c r="L552" s="24" t="s">
        <v>288</v>
      </c>
      <c r="M552" s="8"/>
      <c r="N552" s="262"/>
    </row>
    <row r="553" spans="1:14" s="3" customFormat="1" ht="12.2" customHeight="1" thickTop="1" x14ac:dyDescent="0.15">
      <c r="A553" s="170" t="s">
        <v>340</v>
      </c>
      <c r="B553" s="44">
        <v>21</v>
      </c>
      <c r="C553" s="44">
        <v>25</v>
      </c>
      <c r="D553" s="39" t="s">
        <v>432</v>
      </c>
      <c r="E553" s="44"/>
      <c r="F553" s="88">
        <f t="shared" ref="F553:K553" si="43">SUM(F550:F552)</f>
        <v>3333799.01</v>
      </c>
      <c r="G553" s="88">
        <f t="shared" si="43"/>
        <v>515879.23</v>
      </c>
      <c r="H553" s="88">
        <f t="shared" si="43"/>
        <v>205533.20485999997</v>
      </c>
      <c r="I553" s="88">
        <f t="shared" si="43"/>
        <v>1473.4</v>
      </c>
      <c r="J553" s="88">
        <f t="shared" si="43"/>
        <v>59429.14</v>
      </c>
      <c r="K553" s="88">
        <f t="shared" si="43"/>
        <v>4116113.9848600002</v>
      </c>
      <c r="L553" s="24"/>
      <c r="M553" s="8"/>
      <c r="N553" s="262"/>
    </row>
    <row r="554" spans="1:14" s="3" customFormat="1" ht="12.2" customHeight="1" x14ac:dyDescent="0.15">
      <c r="A554" s="95" t="s">
        <v>580</v>
      </c>
      <c r="B554" s="104"/>
      <c r="C554" s="104"/>
      <c r="D554" s="104"/>
      <c r="E554" s="104"/>
      <c r="F554" s="86"/>
      <c r="G554" s="86"/>
      <c r="H554" s="86"/>
      <c r="I554" s="86"/>
      <c r="J554" s="86"/>
      <c r="K554" s="86"/>
      <c r="L554" s="86"/>
      <c r="M554" s="8"/>
      <c r="N554" s="262"/>
    </row>
    <row r="555" spans="1:14" s="3" customFormat="1" ht="12.2" customHeight="1" x14ac:dyDescent="0.15">
      <c r="B555" s="104"/>
      <c r="C555" s="114"/>
      <c r="D555" s="114"/>
      <c r="E555" s="114"/>
      <c r="F555" s="175" t="s">
        <v>689</v>
      </c>
      <c r="G555" s="175" t="s">
        <v>690</v>
      </c>
      <c r="H555" s="175" t="s">
        <v>691</v>
      </c>
      <c r="I555" s="175" t="s">
        <v>692</v>
      </c>
      <c r="J555" s="175" t="s">
        <v>693</v>
      </c>
      <c r="K555" s="175" t="s">
        <v>694</v>
      </c>
      <c r="L555" s="105"/>
      <c r="M555" s="8"/>
      <c r="N555" s="262"/>
    </row>
    <row r="556" spans="1:14" s="3" customFormat="1" ht="12.2" customHeight="1" x14ac:dyDescent="0.15">
      <c r="A556" s="95" t="s">
        <v>50</v>
      </c>
      <c r="B556" s="104"/>
      <c r="C556" s="114"/>
      <c r="D556" s="114"/>
      <c r="E556" s="114"/>
      <c r="F556" s="102" t="s">
        <v>54</v>
      </c>
      <c r="G556" s="102" t="s">
        <v>55</v>
      </c>
      <c r="H556" s="105" t="s">
        <v>56</v>
      </c>
      <c r="I556" s="105" t="s">
        <v>57</v>
      </c>
      <c r="J556" s="105" t="s">
        <v>58</v>
      </c>
      <c r="K556" s="105" t="s">
        <v>59</v>
      </c>
      <c r="L556" s="105" t="s">
        <v>5</v>
      </c>
      <c r="M556" s="8"/>
      <c r="N556" s="262"/>
    </row>
    <row r="557" spans="1:14" s="3" customFormat="1" ht="12.2" customHeight="1" x14ac:dyDescent="0.15">
      <c r="A557" s="95" t="s">
        <v>85</v>
      </c>
      <c r="B557" s="104"/>
      <c r="C557" s="114"/>
      <c r="D557" s="114"/>
      <c r="E557" s="114"/>
      <c r="F557" s="24" t="s">
        <v>288</v>
      </c>
      <c r="G557" s="24" t="s">
        <v>288</v>
      </c>
      <c r="H557" s="24" t="s">
        <v>288</v>
      </c>
      <c r="I557" s="24" t="s">
        <v>288</v>
      </c>
      <c r="J557" s="24" t="s">
        <v>288</v>
      </c>
      <c r="K557" s="24" t="s">
        <v>288</v>
      </c>
      <c r="L557" s="24" t="s">
        <v>288</v>
      </c>
      <c r="M557" s="8"/>
      <c r="N557" s="262"/>
    </row>
    <row r="558" spans="1:14" s="3" customFormat="1" ht="12.2" customHeight="1" x14ac:dyDescent="0.15">
      <c r="A558" s="22" t="s">
        <v>633</v>
      </c>
      <c r="B558" s="104">
        <v>22</v>
      </c>
      <c r="C558" s="114">
        <v>1</v>
      </c>
      <c r="D558" s="2" t="s">
        <v>432</v>
      </c>
      <c r="E558" s="114"/>
      <c r="F558" s="18">
        <v>101704.08</v>
      </c>
      <c r="G558" s="18">
        <v>17036.958272727275</v>
      </c>
      <c r="H558" s="18">
        <v>2077.5272727272727</v>
      </c>
      <c r="I558" s="18">
        <v>0</v>
      </c>
      <c r="J558" s="18">
        <v>0</v>
      </c>
      <c r="K558" s="18">
        <v>0</v>
      </c>
      <c r="L558" s="87">
        <f>SUM(F558:K558)</f>
        <v>120818.56554545455</v>
      </c>
      <c r="M558" s="8"/>
      <c r="N558" s="262"/>
    </row>
    <row r="559" spans="1:14" s="3" customFormat="1" ht="12.2" customHeight="1" x14ac:dyDescent="0.15">
      <c r="A559" s="22" t="s">
        <v>634</v>
      </c>
      <c r="B559" s="104">
        <v>22</v>
      </c>
      <c r="C559" s="114">
        <v>2</v>
      </c>
      <c r="D559" s="2" t="s">
        <v>432</v>
      </c>
      <c r="E559" s="114"/>
      <c r="F559" s="18">
        <v>0</v>
      </c>
      <c r="G559" s="18">
        <v>0</v>
      </c>
      <c r="H559" s="18">
        <v>0</v>
      </c>
      <c r="I559" s="18">
        <v>0</v>
      </c>
      <c r="J559" s="18">
        <v>0</v>
      </c>
      <c r="K559" s="18">
        <v>0</v>
      </c>
      <c r="L559" s="87">
        <f>SUM(F559:K559)</f>
        <v>0</v>
      </c>
      <c r="M559" s="8"/>
      <c r="N559" s="262"/>
    </row>
    <row r="560" spans="1:14" s="3" customFormat="1" ht="12.2" customHeight="1" thickBot="1" x14ac:dyDescent="0.2">
      <c r="A560" s="22" t="s">
        <v>635</v>
      </c>
      <c r="B560" s="104">
        <v>22</v>
      </c>
      <c r="C560" s="114">
        <v>3</v>
      </c>
      <c r="D560" s="2" t="s">
        <v>432</v>
      </c>
      <c r="E560" s="114"/>
      <c r="F560" s="18">
        <v>21469.41</v>
      </c>
      <c r="G560" s="18">
        <v>1918.7117272727273</v>
      </c>
      <c r="H560" s="18">
        <v>946.4727272727273</v>
      </c>
      <c r="I560" s="18">
        <v>0</v>
      </c>
      <c r="J560" s="18">
        <v>0</v>
      </c>
      <c r="K560" s="18">
        <v>0</v>
      </c>
      <c r="L560" s="87">
        <f>SUM(F560:K560)</f>
        <v>24334.594454545455</v>
      </c>
      <c r="M560" s="8"/>
      <c r="N560" s="262"/>
    </row>
    <row r="561" spans="1:14" s="3" customFormat="1" ht="12.2" customHeight="1" thickTop="1" x14ac:dyDescent="0.15">
      <c r="A561" s="138" t="s">
        <v>63</v>
      </c>
      <c r="B561" s="106">
        <v>22</v>
      </c>
      <c r="C561" s="193">
        <v>4</v>
      </c>
      <c r="D561" s="194" t="s">
        <v>432</v>
      </c>
      <c r="E561" s="193"/>
      <c r="F561" s="107">
        <f t="shared" ref="F561:L561" si="44">SUM(F558:F560)</f>
        <v>123173.49</v>
      </c>
      <c r="G561" s="107">
        <f t="shared" si="44"/>
        <v>18955.670000000002</v>
      </c>
      <c r="H561" s="107">
        <f t="shared" si="44"/>
        <v>3024</v>
      </c>
      <c r="I561" s="107">
        <f t="shared" si="44"/>
        <v>0</v>
      </c>
      <c r="J561" s="107">
        <f t="shared" si="44"/>
        <v>0</v>
      </c>
      <c r="K561" s="107">
        <f t="shared" si="44"/>
        <v>0</v>
      </c>
      <c r="L561" s="88">
        <f t="shared" si="44"/>
        <v>145153.16</v>
      </c>
      <c r="M561" s="8"/>
      <c r="N561" s="262"/>
    </row>
    <row r="562" spans="1:14" s="3" customFormat="1" ht="12.2" customHeight="1" x14ac:dyDescent="0.15">
      <c r="A562" s="95" t="s">
        <v>86</v>
      </c>
      <c r="B562" s="104"/>
      <c r="C562" s="114"/>
      <c r="D562" s="114"/>
      <c r="E562" s="114"/>
      <c r="F562" s="24" t="s">
        <v>288</v>
      </c>
      <c r="G562" s="24" t="s">
        <v>288</v>
      </c>
      <c r="H562" s="24" t="s">
        <v>288</v>
      </c>
      <c r="I562" s="24" t="s">
        <v>288</v>
      </c>
      <c r="J562" s="24" t="s">
        <v>288</v>
      </c>
      <c r="K562" s="24" t="s">
        <v>288</v>
      </c>
      <c r="L562" s="24" t="s">
        <v>288</v>
      </c>
      <c r="M562" s="8"/>
      <c r="N562" s="262"/>
    </row>
    <row r="563" spans="1:14" s="3" customFormat="1" ht="12.2" customHeight="1" x14ac:dyDescent="0.15">
      <c r="A563" s="22" t="s">
        <v>633</v>
      </c>
      <c r="B563" s="104">
        <v>22</v>
      </c>
      <c r="C563" s="114">
        <v>5</v>
      </c>
      <c r="D563" s="2" t="s">
        <v>432</v>
      </c>
      <c r="E563" s="114"/>
      <c r="F563" s="18">
        <v>0</v>
      </c>
      <c r="G563" s="18">
        <v>0</v>
      </c>
      <c r="H563" s="18">
        <v>4523.6507532467531</v>
      </c>
      <c r="I563" s="18">
        <v>0</v>
      </c>
      <c r="J563" s="18">
        <v>0</v>
      </c>
      <c r="K563" s="18">
        <v>0</v>
      </c>
      <c r="L563" s="87">
        <f>SUM(F563:K563)</f>
        <v>4523.6507532467531</v>
      </c>
      <c r="M563" s="8"/>
      <c r="N563" s="262"/>
    </row>
    <row r="564" spans="1:14" s="3" customFormat="1" ht="12.2" customHeight="1" x14ac:dyDescent="0.15">
      <c r="A564" s="22" t="s">
        <v>634</v>
      </c>
      <c r="B564" s="104">
        <v>22</v>
      </c>
      <c r="C564" s="114">
        <v>6</v>
      </c>
      <c r="D564" s="2" t="s">
        <v>432</v>
      </c>
      <c r="E564" s="114"/>
      <c r="F564" s="18">
        <v>0</v>
      </c>
      <c r="G564" s="18">
        <v>0</v>
      </c>
      <c r="H564" s="18">
        <v>0</v>
      </c>
      <c r="I564" s="18">
        <v>0</v>
      </c>
      <c r="J564" s="18">
        <v>0</v>
      </c>
      <c r="K564" s="18">
        <v>0</v>
      </c>
      <c r="L564" s="87">
        <f>SUM(F564:K564)</f>
        <v>0</v>
      </c>
      <c r="M564" s="8"/>
      <c r="N564" s="262"/>
    </row>
    <row r="565" spans="1:14" s="3" customFormat="1" ht="12.2" customHeight="1" thickBot="1" x14ac:dyDescent="0.2">
      <c r="A565" s="22" t="s">
        <v>635</v>
      </c>
      <c r="B565" s="104">
        <v>22</v>
      </c>
      <c r="C565" s="117">
        <v>7</v>
      </c>
      <c r="D565" s="2" t="s">
        <v>432</v>
      </c>
      <c r="E565" s="117"/>
      <c r="F565" s="18">
        <v>0</v>
      </c>
      <c r="G565" s="18">
        <v>0</v>
      </c>
      <c r="H565" s="18">
        <v>2060.8692467532469</v>
      </c>
      <c r="I565" s="18">
        <v>0</v>
      </c>
      <c r="J565" s="18">
        <v>0</v>
      </c>
      <c r="K565" s="18">
        <v>0</v>
      </c>
      <c r="L565" s="87">
        <f>SUM(F565:K565)</f>
        <v>2060.8692467532469</v>
      </c>
      <c r="M565" s="8"/>
      <c r="N565" s="262"/>
    </row>
    <row r="566" spans="1:14" s="3" customFormat="1" ht="12.2" customHeight="1" thickTop="1" x14ac:dyDescent="0.15">
      <c r="A566" s="138" t="s">
        <v>65</v>
      </c>
      <c r="B566" s="106">
        <v>22</v>
      </c>
      <c r="C566" s="106">
        <v>8</v>
      </c>
      <c r="D566" s="194" t="s">
        <v>432</v>
      </c>
      <c r="E566" s="106"/>
      <c r="F566" s="88">
        <f t="shared" ref="F566:L566" si="45">SUM(F563:F565)</f>
        <v>0</v>
      </c>
      <c r="G566" s="88">
        <f t="shared" si="45"/>
        <v>0</v>
      </c>
      <c r="H566" s="88">
        <f t="shared" si="45"/>
        <v>6584.52</v>
      </c>
      <c r="I566" s="88">
        <f t="shared" si="45"/>
        <v>0</v>
      </c>
      <c r="J566" s="88">
        <f t="shared" si="45"/>
        <v>0</v>
      </c>
      <c r="K566" s="88">
        <f t="shared" si="45"/>
        <v>0</v>
      </c>
      <c r="L566" s="88">
        <f t="shared" si="45"/>
        <v>6584.52</v>
      </c>
      <c r="M566" s="8"/>
      <c r="N566" s="262"/>
    </row>
    <row r="567" spans="1:14" s="3" customFormat="1" ht="12.2" customHeight="1" x14ac:dyDescent="0.15">
      <c r="A567" s="96" t="s">
        <v>87</v>
      </c>
      <c r="B567" s="104"/>
      <c r="C567" s="104"/>
      <c r="D567" s="104"/>
      <c r="E567" s="104"/>
      <c r="F567" s="24" t="s">
        <v>288</v>
      </c>
      <c r="G567" s="24" t="s">
        <v>288</v>
      </c>
      <c r="H567" s="24" t="s">
        <v>288</v>
      </c>
      <c r="I567" s="24" t="s">
        <v>288</v>
      </c>
      <c r="J567" s="24" t="s">
        <v>288</v>
      </c>
      <c r="K567" s="24" t="s">
        <v>288</v>
      </c>
      <c r="L567" s="24" t="s">
        <v>288</v>
      </c>
      <c r="M567" s="8"/>
      <c r="N567" s="262"/>
    </row>
    <row r="568" spans="1:14" s="3" customFormat="1" ht="12.2" customHeight="1" x14ac:dyDescent="0.15">
      <c r="A568" s="22" t="s">
        <v>633</v>
      </c>
      <c r="B568" s="104">
        <v>22</v>
      </c>
      <c r="C568" s="104">
        <v>9</v>
      </c>
      <c r="D568" s="2" t="s">
        <v>432</v>
      </c>
      <c r="E568" s="104"/>
      <c r="F568" s="18">
        <v>0</v>
      </c>
      <c r="G568" s="18">
        <v>0</v>
      </c>
      <c r="H568" s="18">
        <v>0</v>
      </c>
      <c r="I568" s="18">
        <v>0</v>
      </c>
      <c r="J568" s="18">
        <v>0</v>
      </c>
      <c r="K568" s="18">
        <v>0</v>
      </c>
      <c r="L568" s="87">
        <f>SUM(F568:K568)</f>
        <v>0</v>
      </c>
      <c r="M568" s="8"/>
      <c r="N568" s="262"/>
    </row>
    <row r="569" spans="1:14" s="3" customFormat="1" ht="12.2" customHeight="1" x14ac:dyDescent="0.15">
      <c r="A569" s="22" t="s">
        <v>634</v>
      </c>
      <c r="B569" s="104">
        <v>22</v>
      </c>
      <c r="C569" s="104">
        <v>10</v>
      </c>
      <c r="D569" s="2" t="s">
        <v>432</v>
      </c>
      <c r="E569" s="104"/>
      <c r="F569" s="18">
        <v>0</v>
      </c>
      <c r="G569" s="18">
        <v>0</v>
      </c>
      <c r="H569" s="18">
        <v>0</v>
      </c>
      <c r="I569" s="18">
        <v>0</v>
      </c>
      <c r="J569" s="18">
        <v>0</v>
      </c>
      <c r="K569" s="18">
        <v>0</v>
      </c>
      <c r="L569" s="87">
        <f>SUM(F569:K569)</f>
        <v>0</v>
      </c>
      <c r="M569" s="8"/>
      <c r="N569" s="262"/>
    </row>
    <row r="570" spans="1:14" s="3" customFormat="1" ht="12.2" customHeight="1" thickBot="1" x14ac:dyDescent="0.2">
      <c r="A570" s="22" t="s">
        <v>635</v>
      </c>
      <c r="B570" s="104">
        <v>22</v>
      </c>
      <c r="C570" s="104">
        <v>11</v>
      </c>
      <c r="D570" s="2" t="s">
        <v>432</v>
      </c>
      <c r="E570" s="104"/>
      <c r="F570" s="18">
        <v>0</v>
      </c>
      <c r="G570" s="18">
        <v>0</v>
      </c>
      <c r="H570" s="18">
        <v>0</v>
      </c>
      <c r="I570" s="18">
        <v>0</v>
      </c>
      <c r="J570" s="18">
        <v>0</v>
      </c>
      <c r="K570" s="18">
        <v>0</v>
      </c>
      <c r="L570" s="87">
        <f>SUM(F570:K570)</f>
        <v>0</v>
      </c>
      <c r="M570" s="8"/>
      <c r="N570" s="262"/>
    </row>
    <row r="571" spans="1:14" s="3" customFormat="1" ht="12.2" customHeight="1" thickTop="1" thickBot="1" x14ac:dyDescent="0.2">
      <c r="A571" s="129" t="s">
        <v>67</v>
      </c>
      <c r="B571" s="189">
        <v>22</v>
      </c>
      <c r="C571" s="189">
        <v>12</v>
      </c>
      <c r="D571" s="195" t="s">
        <v>432</v>
      </c>
      <c r="E571" s="189"/>
      <c r="F571" s="191">
        <f>SUM(F568:F570)</f>
        <v>0</v>
      </c>
      <c r="G571" s="191">
        <f t="shared" ref="G571:L571" si="46">SUM(G568:G570)</f>
        <v>0</v>
      </c>
      <c r="H571" s="191">
        <f t="shared" si="46"/>
        <v>0</v>
      </c>
      <c r="I571" s="191">
        <f t="shared" si="46"/>
        <v>0</v>
      </c>
      <c r="J571" s="191">
        <f t="shared" si="46"/>
        <v>0</v>
      </c>
      <c r="K571" s="191">
        <f t="shared" si="46"/>
        <v>0</v>
      </c>
      <c r="L571" s="191">
        <f t="shared" si="46"/>
        <v>0</v>
      </c>
      <c r="M571" s="8"/>
      <c r="N571" s="262"/>
    </row>
    <row r="572" spans="1:14" s="3" customFormat="1" ht="12.2" customHeight="1" thickTop="1" x14ac:dyDescent="0.15">
      <c r="A572" s="97" t="s">
        <v>88</v>
      </c>
      <c r="B572" s="106">
        <v>22</v>
      </c>
      <c r="C572" s="106">
        <v>13</v>
      </c>
      <c r="D572" s="156" t="s">
        <v>432</v>
      </c>
      <c r="E572" s="106"/>
      <c r="F572" s="88">
        <f>F561+F566+F571</f>
        <v>123173.49</v>
      </c>
      <c r="G572" s="88">
        <f t="shared" ref="G572:L572" si="47">G561+G566+G571</f>
        <v>18955.670000000002</v>
      </c>
      <c r="H572" s="88">
        <f t="shared" si="47"/>
        <v>9608.52</v>
      </c>
      <c r="I572" s="88">
        <f t="shared" si="47"/>
        <v>0</v>
      </c>
      <c r="J572" s="88">
        <f t="shared" si="47"/>
        <v>0</v>
      </c>
      <c r="K572" s="88">
        <f t="shared" si="47"/>
        <v>0</v>
      </c>
      <c r="L572" s="88">
        <f t="shared" si="47"/>
        <v>151737.68</v>
      </c>
      <c r="M572" s="8"/>
      <c r="N572" s="262"/>
    </row>
    <row r="573" spans="1:14" s="3" customFormat="1" ht="12.2" customHeight="1" x14ac:dyDescent="0.15">
      <c r="A573" s="96"/>
      <c r="B573" s="74"/>
      <c r="C573" s="74"/>
      <c r="D573" s="74"/>
      <c r="E573" s="74"/>
      <c r="F573" s="86"/>
      <c r="G573" s="86"/>
      <c r="H573" s="86"/>
      <c r="I573" s="86"/>
      <c r="J573" s="86"/>
      <c r="K573" s="86"/>
      <c r="L573" s="86"/>
      <c r="M573" s="8"/>
      <c r="N573" s="262"/>
    </row>
    <row r="574" spans="1:14" s="3" customFormat="1" ht="12.2" customHeight="1" x14ac:dyDescent="0.15">
      <c r="A574" s="96" t="s">
        <v>771</v>
      </c>
      <c r="B574" s="74"/>
      <c r="C574" s="74"/>
      <c r="D574" s="74"/>
      <c r="E574" s="74"/>
      <c r="F574" s="86"/>
      <c r="G574" s="86"/>
      <c r="H574" s="86"/>
      <c r="I574" s="86"/>
      <c r="J574" s="86"/>
      <c r="K574" s="86"/>
      <c r="L574" s="86"/>
      <c r="M574" s="8"/>
      <c r="N574" s="262"/>
    </row>
    <row r="575" spans="1:14" s="3" customFormat="1" ht="12.2" customHeight="1" x14ac:dyDescent="0.15">
      <c r="A575" s="96" t="s">
        <v>89</v>
      </c>
      <c r="B575" s="74"/>
      <c r="C575" s="74"/>
      <c r="D575" s="74"/>
      <c r="E575" s="74" t="s">
        <v>95</v>
      </c>
      <c r="F575" s="100" t="s">
        <v>90</v>
      </c>
      <c r="G575" s="100" t="s">
        <v>91</v>
      </c>
      <c r="H575" s="100" t="s">
        <v>92</v>
      </c>
      <c r="I575" s="100" t="s">
        <v>93</v>
      </c>
      <c r="J575" s="24" t="s">
        <v>288</v>
      </c>
      <c r="K575" s="24" t="s">
        <v>288</v>
      </c>
      <c r="L575" s="24" t="s">
        <v>288</v>
      </c>
      <c r="M575" s="8"/>
      <c r="N575" s="262"/>
    </row>
    <row r="576" spans="1:14" s="3" customFormat="1" ht="12.2" customHeight="1" x14ac:dyDescent="0.15">
      <c r="A576" s="98" t="s">
        <v>669</v>
      </c>
      <c r="B576" s="74">
        <v>22</v>
      </c>
      <c r="C576" s="74">
        <v>14</v>
      </c>
      <c r="D576" s="2" t="s">
        <v>432</v>
      </c>
      <c r="E576" s="74">
        <v>561</v>
      </c>
      <c r="F576" s="18">
        <v>0</v>
      </c>
      <c r="G576" s="18">
        <v>0</v>
      </c>
      <c r="H576" s="18">
        <v>14521.14</v>
      </c>
      <c r="I576" s="86">
        <f>SUM(F576:H576)</f>
        <v>14521.14</v>
      </c>
      <c r="J576" s="24" t="s">
        <v>288</v>
      </c>
      <c r="K576" s="24" t="s">
        <v>288</v>
      </c>
      <c r="L576" s="24" t="s">
        <v>288</v>
      </c>
      <c r="M576" s="8"/>
      <c r="N576" s="262"/>
    </row>
    <row r="577" spans="1:14" s="3" customFormat="1" ht="12.2" customHeight="1" x14ac:dyDescent="0.15">
      <c r="A577" s="98" t="s">
        <v>670</v>
      </c>
      <c r="B577" s="74">
        <v>22</v>
      </c>
      <c r="C577" s="74">
        <v>15</v>
      </c>
      <c r="D577" s="2" t="s">
        <v>432</v>
      </c>
      <c r="E577" s="74">
        <v>562</v>
      </c>
      <c r="F577" s="18">
        <v>0</v>
      </c>
      <c r="G577" s="18">
        <v>0</v>
      </c>
      <c r="H577" s="18">
        <v>0</v>
      </c>
      <c r="I577" s="86">
        <f t="shared" ref="I577:I588" si="48">SUM(F577:H577)</f>
        <v>0</v>
      </c>
      <c r="J577" s="24" t="s">
        <v>288</v>
      </c>
      <c r="K577" s="24" t="s">
        <v>288</v>
      </c>
      <c r="L577" s="24" t="s">
        <v>288</v>
      </c>
      <c r="M577" s="8"/>
      <c r="N577" s="262"/>
    </row>
    <row r="578" spans="1:14" s="3" customFormat="1" ht="12.2" customHeight="1" x14ac:dyDescent="0.15">
      <c r="A578" s="98" t="s">
        <v>740</v>
      </c>
      <c r="B578" s="74">
        <v>22</v>
      </c>
      <c r="C578" s="74">
        <v>16</v>
      </c>
      <c r="D578" s="2" t="s">
        <v>432</v>
      </c>
      <c r="E578" s="74">
        <v>563</v>
      </c>
      <c r="F578" s="24" t="s">
        <v>288</v>
      </c>
      <c r="G578" s="24" t="s">
        <v>288</v>
      </c>
      <c r="H578" s="18">
        <v>0</v>
      </c>
      <c r="I578" s="86">
        <f t="shared" si="48"/>
        <v>0</v>
      </c>
      <c r="J578" s="24" t="s">
        <v>288</v>
      </c>
      <c r="K578" s="24" t="s">
        <v>288</v>
      </c>
      <c r="L578" s="24" t="s">
        <v>288</v>
      </c>
      <c r="M578" s="8"/>
      <c r="N578" s="262"/>
    </row>
    <row r="579" spans="1:14" s="3" customFormat="1" ht="12.2" customHeight="1" x14ac:dyDescent="0.15">
      <c r="A579" s="98" t="s">
        <v>674</v>
      </c>
      <c r="B579" s="74">
        <v>22</v>
      </c>
      <c r="C579" s="74">
        <v>17</v>
      </c>
      <c r="D579" s="2" t="s">
        <v>432</v>
      </c>
      <c r="E579" s="74">
        <v>564</v>
      </c>
      <c r="F579" s="18">
        <v>0</v>
      </c>
      <c r="G579" s="18">
        <v>0</v>
      </c>
      <c r="H579" s="18">
        <v>0</v>
      </c>
      <c r="I579" s="86">
        <f t="shared" si="48"/>
        <v>0</v>
      </c>
      <c r="J579" s="24" t="s">
        <v>288</v>
      </c>
      <c r="K579" s="24" t="s">
        <v>288</v>
      </c>
      <c r="L579" s="24" t="s">
        <v>288</v>
      </c>
      <c r="M579" s="8"/>
      <c r="N579" s="262"/>
    </row>
    <row r="580" spans="1:14" s="3" customFormat="1" ht="12.2" customHeight="1" x14ac:dyDescent="0.15">
      <c r="A580" s="98" t="s">
        <v>671</v>
      </c>
      <c r="B580" s="74">
        <v>22</v>
      </c>
      <c r="C580" s="74">
        <v>18</v>
      </c>
      <c r="D580" s="2" t="s">
        <v>432</v>
      </c>
      <c r="E580" s="74">
        <v>561</v>
      </c>
      <c r="F580" s="18">
        <v>0</v>
      </c>
      <c r="G580" s="18">
        <v>0</v>
      </c>
      <c r="H580" s="18">
        <v>0</v>
      </c>
      <c r="I580" s="86">
        <f t="shared" si="48"/>
        <v>0</v>
      </c>
      <c r="J580" s="24" t="s">
        <v>288</v>
      </c>
      <c r="K580" s="24" t="s">
        <v>288</v>
      </c>
      <c r="L580" s="24" t="s">
        <v>288</v>
      </c>
      <c r="M580" s="8"/>
      <c r="N580" s="262"/>
    </row>
    <row r="581" spans="1:14" s="3" customFormat="1" ht="12.2" customHeight="1" x14ac:dyDescent="0.15">
      <c r="A581" s="98" t="s">
        <v>672</v>
      </c>
      <c r="B581" s="74">
        <v>22</v>
      </c>
      <c r="C581" s="74">
        <v>19</v>
      </c>
      <c r="D581" s="2" t="s">
        <v>432</v>
      </c>
      <c r="E581" s="74">
        <v>562</v>
      </c>
      <c r="F581" s="18">
        <v>0</v>
      </c>
      <c r="G581" s="18">
        <v>0</v>
      </c>
      <c r="H581" s="18">
        <v>0</v>
      </c>
      <c r="I581" s="86">
        <f t="shared" si="48"/>
        <v>0</v>
      </c>
      <c r="J581" s="24" t="s">
        <v>288</v>
      </c>
      <c r="K581" s="24" t="s">
        <v>288</v>
      </c>
      <c r="L581" s="24" t="s">
        <v>288</v>
      </c>
      <c r="M581" s="8"/>
      <c r="N581" s="262"/>
    </row>
    <row r="582" spans="1:14" s="3" customFormat="1" ht="12.2" customHeight="1" x14ac:dyDescent="0.15">
      <c r="A582" s="144" t="s">
        <v>741</v>
      </c>
      <c r="B582" s="74">
        <v>22</v>
      </c>
      <c r="C582" s="74">
        <v>20</v>
      </c>
      <c r="D582" s="2" t="s">
        <v>432</v>
      </c>
      <c r="E582" s="74">
        <v>563</v>
      </c>
      <c r="F582" s="24" t="s">
        <v>288</v>
      </c>
      <c r="G582" s="24" t="s">
        <v>288</v>
      </c>
      <c r="H582" s="18">
        <v>0</v>
      </c>
      <c r="I582" s="86">
        <f t="shared" si="48"/>
        <v>0</v>
      </c>
      <c r="J582" s="24" t="s">
        <v>288</v>
      </c>
      <c r="K582" s="24" t="s">
        <v>288</v>
      </c>
      <c r="L582" s="24" t="s">
        <v>288</v>
      </c>
      <c r="M582" s="8"/>
      <c r="N582" s="262"/>
    </row>
    <row r="583" spans="1:14" s="3" customFormat="1" ht="12.2" customHeight="1" x14ac:dyDescent="0.15">
      <c r="A583" s="144" t="s">
        <v>673</v>
      </c>
      <c r="B583" s="74">
        <v>22</v>
      </c>
      <c r="C583" s="74">
        <v>21</v>
      </c>
      <c r="D583" s="2" t="s">
        <v>432</v>
      </c>
      <c r="E583" s="74">
        <v>564</v>
      </c>
      <c r="F583" s="18">
        <v>291978.8</v>
      </c>
      <c r="G583" s="18">
        <v>0</v>
      </c>
      <c r="H583" s="18">
        <v>566876.52</v>
      </c>
      <c r="I583" s="86">
        <f t="shared" si="48"/>
        <v>858855.32000000007</v>
      </c>
      <c r="J583" s="24" t="s">
        <v>288</v>
      </c>
      <c r="K583" s="24" t="s">
        <v>288</v>
      </c>
      <c r="L583" s="24" t="s">
        <v>288</v>
      </c>
      <c r="M583" s="8"/>
      <c r="N583" s="262"/>
    </row>
    <row r="584" spans="1:14" s="3" customFormat="1" ht="12.2" customHeight="1" x14ac:dyDescent="0.15">
      <c r="A584" s="144" t="s">
        <v>636</v>
      </c>
      <c r="B584" s="74">
        <v>22</v>
      </c>
      <c r="C584" s="74">
        <v>22</v>
      </c>
      <c r="D584" s="2" t="s">
        <v>432</v>
      </c>
      <c r="E584" s="74">
        <v>569</v>
      </c>
      <c r="F584" s="18">
        <v>0</v>
      </c>
      <c r="G584" s="18">
        <v>0</v>
      </c>
      <c r="H584" s="18">
        <v>0</v>
      </c>
      <c r="I584" s="86">
        <f t="shared" si="48"/>
        <v>0</v>
      </c>
      <c r="J584" s="24" t="s">
        <v>288</v>
      </c>
      <c r="K584" s="24" t="s">
        <v>288</v>
      </c>
      <c r="L584" s="24" t="s">
        <v>288</v>
      </c>
      <c r="M584" s="8"/>
      <c r="N584" s="262"/>
    </row>
    <row r="585" spans="1:14" s="3" customFormat="1" ht="12.2" customHeight="1" x14ac:dyDescent="0.15">
      <c r="A585" s="22" t="s">
        <v>675</v>
      </c>
      <c r="B585" s="74">
        <v>22</v>
      </c>
      <c r="C585" s="74">
        <v>23</v>
      </c>
      <c r="D585" s="2" t="s">
        <v>432</v>
      </c>
      <c r="E585" s="74">
        <v>561</v>
      </c>
      <c r="F585" s="18">
        <v>0</v>
      </c>
      <c r="G585" s="18">
        <v>0</v>
      </c>
      <c r="H585" s="18">
        <v>31362.06</v>
      </c>
      <c r="I585" s="86">
        <f t="shared" si="48"/>
        <v>31362.06</v>
      </c>
      <c r="J585" s="24" t="s">
        <v>288</v>
      </c>
      <c r="K585" s="24" t="s">
        <v>288</v>
      </c>
      <c r="L585" s="24" t="s">
        <v>288</v>
      </c>
      <c r="M585" s="8"/>
      <c r="N585" s="262"/>
    </row>
    <row r="586" spans="1:14" s="3" customFormat="1" ht="12.2" customHeight="1" x14ac:dyDescent="0.15">
      <c r="A586" s="22" t="s">
        <v>676</v>
      </c>
      <c r="B586" s="74">
        <v>22</v>
      </c>
      <c r="C586" s="74">
        <v>24</v>
      </c>
      <c r="D586" s="2" t="s">
        <v>432</v>
      </c>
      <c r="E586" s="74">
        <v>562</v>
      </c>
      <c r="F586" s="18">
        <v>0</v>
      </c>
      <c r="G586" s="18">
        <v>0</v>
      </c>
      <c r="H586" s="18">
        <v>0</v>
      </c>
      <c r="I586" s="86">
        <f t="shared" si="48"/>
        <v>0</v>
      </c>
      <c r="J586" s="24" t="s">
        <v>288</v>
      </c>
      <c r="K586" s="24" t="s">
        <v>288</v>
      </c>
      <c r="L586" s="24" t="s">
        <v>288</v>
      </c>
      <c r="M586" s="8"/>
      <c r="N586" s="262"/>
    </row>
    <row r="587" spans="1:14" s="3" customFormat="1" ht="12.2" customHeight="1" x14ac:dyDescent="0.15">
      <c r="A587" s="22" t="s">
        <v>742</v>
      </c>
      <c r="B587" s="74">
        <v>22</v>
      </c>
      <c r="C587" s="74">
        <v>25</v>
      </c>
      <c r="D587" s="2" t="s">
        <v>432</v>
      </c>
      <c r="E587" s="74">
        <v>563</v>
      </c>
      <c r="F587" s="24" t="s">
        <v>288</v>
      </c>
      <c r="G587" s="24" t="s">
        <v>288</v>
      </c>
      <c r="H587" s="18">
        <v>0</v>
      </c>
      <c r="I587" s="86">
        <f t="shared" si="48"/>
        <v>0</v>
      </c>
      <c r="J587" s="24" t="s">
        <v>288</v>
      </c>
      <c r="K587" s="24" t="s">
        <v>288</v>
      </c>
      <c r="L587" s="24" t="s">
        <v>288</v>
      </c>
      <c r="M587" s="8"/>
      <c r="N587" s="262"/>
    </row>
    <row r="588" spans="1:14" s="3" customFormat="1" ht="12.2" customHeight="1" x14ac:dyDescent="0.15">
      <c r="A588" s="22" t="s">
        <v>677</v>
      </c>
      <c r="B588" s="74">
        <v>22</v>
      </c>
      <c r="C588" s="74">
        <v>26</v>
      </c>
      <c r="D588" s="2" t="s">
        <v>432</v>
      </c>
      <c r="E588" s="74">
        <v>564</v>
      </c>
      <c r="F588" s="18">
        <v>0</v>
      </c>
      <c r="G588" s="18">
        <v>0</v>
      </c>
      <c r="H588" s="18">
        <v>0</v>
      </c>
      <c r="I588" s="86">
        <f t="shared" si="48"/>
        <v>0</v>
      </c>
      <c r="J588" s="24" t="s">
        <v>288</v>
      </c>
      <c r="K588" s="24" t="s">
        <v>288</v>
      </c>
      <c r="L588" s="24" t="s">
        <v>288</v>
      </c>
      <c r="M588" s="8"/>
      <c r="N588" s="262"/>
    </row>
    <row r="589" spans="1:14" s="3" customFormat="1" ht="12.2" customHeight="1" x14ac:dyDescent="0.15">
      <c r="A589" s="171" t="s">
        <v>743</v>
      </c>
      <c r="B589" s="104"/>
      <c r="C589" s="104"/>
      <c r="D589" s="104"/>
      <c r="E589" s="104"/>
      <c r="F589" s="102"/>
      <c r="G589" s="102"/>
      <c r="H589" s="102"/>
      <c r="I589" s="102"/>
      <c r="J589" s="102"/>
      <c r="K589" s="102"/>
      <c r="L589" s="102"/>
      <c r="M589" s="8"/>
      <c r="N589" s="262"/>
    </row>
    <row r="590" spans="1:14" s="3" customFormat="1" ht="12.2" customHeight="1" x14ac:dyDescent="0.15">
      <c r="A590" s="145" t="s">
        <v>654</v>
      </c>
      <c r="B590" s="104"/>
      <c r="C590" s="104"/>
      <c r="D590" s="104"/>
      <c r="E590" s="104"/>
      <c r="F590" s="102"/>
      <c r="G590" s="102"/>
      <c r="H590" s="102"/>
      <c r="I590" s="102"/>
      <c r="J590" s="102"/>
      <c r="K590" s="102"/>
      <c r="L590" s="102"/>
      <c r="M590" s="8"/>
      <c r="N590" s="262"/>
    </row>
    <row r="591" spans="1:14" s="3" customFormat="1" ht="12.2" customHeight="1" x14ac:dyDescent="0.15">
      <c r="A591" s="95" t="s">
        <v>89</v>
      </c>
      <c r="B591" s="104"/>
      <c r="C591" s="104"/>
      <c r="D591" s="104"/>
      <c r="E591" s="104"/>
      <c r="F591" s="102" t="s">
        <v>94</v>
      </c>
      <c r="G591" s="102" t="s">
        <v>95</v>
      </c>
      <c r="H591" s="102" t="s">
        <v>61</v>
      </c>
      <c r="I591" s="102" t="s">
        <v>96</v>
      </c>
      <c r="J591" s="102" t="s">
        <v>62</v>
      </c>
      <c r="K591" s="102" t="s">
        <v>5</v>
      </c>
      <c r="L591" s="102"/>
      <c r="M591" s="8"/>
      <c r="N591" s="262"/>
    </row>
    <row r="592" spans="1:14" s="3" customFormat="1" ht="12.2" customHeight="1" x14ac:dyDescent="0.15">
      <c r="A592" s="3" t="s">
        <v>637</v>
      </c>
      <c r="B592" s="74">
        <v>23</v>
      </c>
      <c r="C592" s="74">
        <v>1</v>
      </c>
      <c r="D592" s="2" t="s">
        <v>432</v>
      </c>
      <c r="E592" s="74"/>
      <c r="F592" s="101">
        <v>2721</v>
      </c>
      <c r="G592" s="102" t="s">
        <v>97</v>
      </c>
      <c r="H592" s="18">
        <v>236304.58854545452</v>
      </c>
      <c r="I592" s="18">
        <v>0</v>
      </c>
      <c r="J592" s="18">
        <v>107654.83145454545</v>
      </c>
      <c r="K592" s="103">
        <f t="shared" ref="K592:K598" si="49">SUM(H592:J592)</f>
        <v>343959.42</v>
      </c>
      <c r="L592" s="24" t="s">
        <v>288</v>
      </c>
      <c r="M592" s="8"/>
      <c r="N592" s="262"/>
    </row>
    <row r="593" spans="1:14" s="3" customFormat="1" ht="12.2" customHeight="1" x14ac:dyDescent="0.15">
      <c r="A593" s="3" t="s">
        <v>638</v>
      </c>
      <c r="B593" s="74">
        <v>23</v>
      </c>
      <c r="C593" s="74">
        <v>2</v>
      </c>
      <c r="D593" s="2" t="s">
        <v>432</v>
      </c>
      <c r="E593" s="74"/>
      <c r="F593" s="101">
        <v>2722</v>
      </c>
      <c r="G593" s="102" t="s">
        <v>97</v>
      </c>
      <c r="H593" s="18">
        <v>40828.590987012984</v>
      </c>
      <c r="I593" s="18">
        <v>0</v>
      </c>
      <c r="J593" s="18">
        <v>18600.549012987012</v>
      </c>
      <c r="K593" s="103">
        <f t="shared" si="49"/>
        <v>59429.14</v>
      </c>
      <c r="L593" s="24" t="s">
        <v>288</v>
      </c>
      <c r="M593" s="8"/>
      <c r="N593" s="262"/>
    </row>
    <row r="594" spans="1:14" s="3" customFormat="1" ht="12.2" customHeight="1" x14ac:dyDescent="0.15">
      <c r="A594" s="3" t="s">
        <v>639</v>
      </c>
      <c r="B594" s="74">
        <v>23</v>
      </c>
      <c r="C594" s="74">
        <v>3</v>
      </c>
      <c r="D594" s="2" t="s">
        <v>432</v>
      </c>
      <c r="E594" s="74"/>
      <c r="F594" s="101">
        <v>2723</v>
      </c>
      <c r="G594" s="102" t="s">
        <v>97</v>
      </c>
      <c r="H594" s="18">
        <v>0</v>
      </c>
      <c r="I594" s="18">
        <v>0</v>
      </c>
      <c r="J594" s="18">
        <v>0</v>
      </c>
      <c r="K594" s="103">
        <f t="shared" si="49"/>
        <v>0</v>
      </c>
      <c r="L594" s="24" t="s">
        <v>288</v>
      </c>
      <c r="M594" s="8"/>
      <c r="N594" s="262"/>
    </row>
    <row r="595" spans="1:14" s="3" customFormat="1" ht="12.2" customHeight="1" x14ac:dyDescent="0.15">
      <c r="A595" s="22" t="s">
        <v>640</v>
      </c>
      <c r="B595" s="74">
        <v>23</v>
      </c>
      <c r="C595" s="74">
        <v>4</v>
      </c>
      <c r="D595" s="2" t="s">
        <v>432</v>
      </c>
      <c r="E595" s="74"/>
      <c r="F595" s="101">
        <v>2724</v>
      </c>
      <c r="G595" s="102" t="s">
        <v>97</v>
      </c>
      <c r="H595" s="18">
        <v>0</v>
      </c>
      <c r="I595" s="18">
        <v>0</v>
      </c>
      <c r="J595" s="18">
        <v>22807.919999999998</v>
      </c>
      <c r="K595" s="103">
        <f t="shared" si="49"/>
        <v>22807.919999999998</v>
      </c>
      <c r="L595" s="24" t="s">
        <v>288</v>
      </c>
      <c r="M595" s="8"/>
      <c r="N595" s="262"/>
    </row>
    <row r="596" spans="1:14" s="3" customFormat="1" ht="12.2" customHeight="1" x14ac:dyDescent="0.15">
      <c r="A596" s="169" t="s">
        <v>652</v>
      </c>
      <c r="B596" s="74">
        <v>23</v>
      </c>
      <c r="C596" s="74">
        <v>5</v>
      </c>
      <c r="D596" s="2" t="s">
        <v>432</v>
      </c>
      <c r="E596" s="74"/>
      <c r="F596" s="101">
        <v>2725</v>
      </c>
      <c r="G596" s="102" t="s">
        <v>97</v>
      </c>
      <c r="H596" s="18">
        <v>1687.93</v>
      </c>
      <c r="I596" s="18">
        <v>0</v>
      </c>
      <c r="J596" s="18">
        <v>4859.0600000000004</v>
      </c>
      <c r="K596" s="103">
        <f t="shared" si="49"/>
        <v>6546.9900000000007</v>
      </c>
      <c r="L596" s="24" t="s">
        <v>288</v>
      </c>
      <c r="M596" s="8"/>
      <c r="N596" s="262"/>
    </row>
    <row r="597" spans="1:14" s="3" customFormat="1" ht="12.2" customHeight="1" x14ac:dyDescent="0.15">
      <c r="A597" s="22" t="s">
        <v>641</v>
      </c>
      <c r="B597" s="74">
        <v>23</v>
      </c>
      <c r="C597" s="74">
        <v>6</v>
      </c>
      <c r="D597" s="2" t="s">
        <v>432</v>
      </c>
      <c r="E597" s="74"/>
      <c r="F597" s="101">
        <v>2726</v>
      </c>
      <c r="G597" s="102" t="s">
        <v>97</v>
      </c>
      <c r="H597" s="18">
        <v>0</v>
      </c>
      <c r="I597" s="18">
        <v>0</v>
      </c>
      <c r="J597" s="18">
        <v>0</v>
      </c>
      <c r="K597" s="103">
        <f t="shared" si="49"/>
        <v>0</v>
      </c>
      <c r="L597" s="24" t="s">
        <v>288</v>
      </c>
      <c r="M597" s="8"/>
      <c r="N597" s="262"/>
    </row>
    <row r="598" spans="1:14" s="3" customFormat="1" ht="12.2" customHeight="1" thickBot="1" x14ac:dyDescent="0.2">
      <c r="A598" s="3" t="s">
        <v>655</v>
      </c>
      <c r="B598" s="74">
        <v>23</v>
      </c>
      <c r="C598" s="74">
        <v>7</v>
      </c>
      <c r="D598" s="2" t="s">
        <v>432</v>
      </c>
      <c r="E598" s="74"/>
      <c r="F598" s="101">
        <v>2729</v>
      </c>
      <c r="G598" s="102" t="s">
        <v>97</v>
      </c>
      <c r="H598" s="18">
        <v>110.2174935064935</v>
      </c>
      <c r="I598" s="18">
        <v>0</v>
      </c>
      <c r="J598" s="18">
        <v>50.212506493506496</v>
      </c>
      <c r="K598" s="103">
        <f t="shared" si="49"/>
        <v>160.43</v>
      </c>
      <c r="L598" s="24" t="s">
        <v>288</v>
      </c>
      <c r="M598" s="8"/>
      <c r="N598" s="262"/>
    </row>
    <row r="599" spans="1:14" s="3" customFormat="1" ht="12.2" customHeight="1" thickTop="1" x14ac:dyDescent="0.15">
      <c r="A599" s="97" t="s">
        <v>340</v>
      </c>
      <c r="B599" s="44">
        <v>23</v>
      </c>
      <c r="C599" s="44">
        <v>8</v>
      </c>
      <c r="D599" s="39" t="s">
        <v>432</v>
      </c>
      <c r="E599" s="44"/>
      <c r="F599" s="146">
        <v>2700</v>
      </c>
      <c r="G599" s="147" t="s">
        <v>97</v>
      </c>
      <c r="H599" s="107">
        <f>SUM(H592:H598)</f>
        <v>278931.32702597399</v>
      </c>
      <c r="I599" s="107">
        <f>SUM(I592:I598)</f>
        <v>0</v>
      </c>
      <c r="J599" s="107">
        <f>SUM(J592:J598)</f>
        <v>153972.57297402597</v>
      </c>
      <c r="K599" s="107">
        <f>SUM(K592:K598)</f>
        <v>432903.89999999997</v>
      </c>
      <c r="L599" s="24" t="s">
        <v>288</v>
      </c>
      <c r="M599" s="8"/>
      <c r="N599" s="262"/>
    </row>
    <row r="600" spans="1:14" s="3" customFormat="1" ht="12.2" customHeight="1" x14ac:dyDescent="0.15">
      <c r="A600" s="22"/>
      <c r="B600" s="104"/>
      <c r="C600" s="104"/>
      <c r="D600" s="104"/>
      <c r="E600" s="104"/>
      <c r="F600" s="102"/>
      <c r="G600" s="102"/>
      <c r="H600" s="102"/>
      <c r="I600" s="102"/>
      <c r="J600" s="102"/>
      <c r="K600" s="102"/>
      <c r="L600" s="102"/>
      <c r="M600" s="8"/>
      <c r="N600" s="262"/>
    </row>
    <row r="601" spans="1:14" s="3" customFormat="1" ht="12.2" customHeight="1" x14ac:dyDescent="0.15">
      <c r="A601" s="95" t="s">
        <v>98</v>
      </c>
      <c r="B601" s="104"/>
      <c r="C601" s="104"/>
      <c r="D601" s="104"/>
      <c r="E601" s="104"/>
      <c r="F601" s="102"/>
      <c r="G601" s="102"/>
      <c r="H601" s="102"/>
      <c r="I601" s="102"/>
      <c r="J601" s="102"/>
      <c r="K601" s="102"/>
      <c r="L601" s="102"/>
      <c r="M601" s="8"/>
      <c r="N601" s="262"/>
    </row>
    <row r="602" spans="1:14" s="3" customFormat="1" ht="12.2" customHeight="1" x14ac:dyDescent="0.15">
      <c r="A602" s="95" t="s">
        <v>89</v>
      </c>
      <c r="B602" s="104"/>
      <c r="C602" s="104"/>
      <c r="D602" s="104"/>
      <c r="E602" s="104"/>
      <c r="F602" s="102" t="s">
        <v>94</v>
      </c>
      <c r="G602" s="102" t="s">
        <v>95</v>
      </c>
      <c r="H602" s="102" t="s">
        <v>61</v>
      </c>
      <c r="I602" s="102" t="s">
        <v>96</v>
      </c>
      <c r="J602" s="102" t="s">
        <v>62</v>
      </c>
      <c r="K602" s="102" t="s">
        <v>5</v>
      </c>
      <c r="L602" s="102"/>
      <c r="M602" s="8"/>
      <c r="N602" s="262"/>
    </row>
    <row r="603" spans="1:14" s="3" customFormat="1" ht="12.2" customHeight="1" x14ac:dyDescent="0.15">
      <c r="A603" s="22" t="s">
        <v>642</v>
      </c>
      <c r="B603" s="104">
        <v>23</v>
      </c>
      <c r="C603" s="104">
        <v>9</v>
      </c>
      <c r="D603" s="2" t="s">
        <v>432</v>
      </c>
      <c r="E603" s="104"/>
      <c r="F603" s="102" t="s">
        <v>476</v>
      </c>
      <c r="G603" s="101">
        <v>710</v>
      </c>
      <c r="H603" s="18">
        <v>0</v>
      </c>
      <c r="I603" s="18">
        <v>0</v>
      </c>
      <c r="J603" s="18">
        <v>0</v>
      </c>
      <c r="K603" s="103">
        <f>SUM(H603:J603)</f>
        <v>0</v>
      </c>
      <c r="L603" s="24" t="s">
        <v>288</v>
      </c>
      <c r="M603" s="8"/>
      <c r="N603" s="262"/>
    </row>
    <row r="604" spans="1:14" s="3" customFormat="1" ht="12.2" customHeight="1" x14ac:dyDescent="0.15">
      <c r="A604" s="22" t="s">
        <v>643</v>
      </c>
      <c r="B604" s="104">
        <v>23</v>
      </c>
      <c r="C604" s="104">
        <v>10</v>
      </c>
      <c r="D604" s="2" t="s">
        <v>432</v>
      </c>
      <c r="E604" s="104"/>
      <c r="F604" s="102" t="s">
        <v>476</v>
      </c>
      <c r="G604" s="101">
        <v>720</v>
      </c>
      <c r="H604" s="18">
        <v>0</v>
      </c>
      <c r="I604" s="18">
        <v>0</v>
      </c>
      <c r="J604" s="18">
        <v>0</v>
      </c>
      <c r="K604" s="103">
        <f>SUM(H604:J604)</f>
        <v>0</v>
      </c>
      <c r="L604" s="24" t="s">
        <v>288</v>
      </c>
      <c r="M604" s="8"/>
      <c r="N604" s="262"/>
    </row>
    <row r="605" spans="1:14" s="3" customFormat="1" ht="12.2" customHeight="1" thickBot="1" x14ac:dyDescent="0.2">
      <c r="A605" s="22" t="s">
        <v>644</v>
      </c>
      <c r="B605" s="104">
        <v>23</v>
      </c>
      <c r="C605" s="104">
        <v>11</v>
      </c>
      <c r="D605" s="2" t="s">
        <v>432</v>
      </c>
      <c r="E605" s="104"/>
      <c r="F605" s="102" t="s">
        <v>476</v>
      </c>
      <c r="G605" s="101">
        <v>730</v>
      </c>
      <c r="H605" s="18">
        <f>J212+J353</f>
        <v>347648.59646753245</v>
      </c>
      <c r="I605" s="18">
        <v>0</v>
      </c>
      <c r="J605" s="18">
        <f>J248</f>
        <v>35209.16353246753</v>
      </c>
      <c r="K605" s="103">
        <f>SUM(H605:J605)</f>
        <v>382857.76</v>
      </c>
      <c r="L605" s="24" t="s">
        <v>288</v>
      </c>
      <c r="M605" s="8"/>
      <c r="N605" s="262"/>
    </row>
    <row r="606" spans="1:14" s="3" customFormat="1" ht="12.2" customHeight="1" thickTop="1" x14ac:dyDescent="0.15">
      <c r="A606" s="97" t="s">
        <v>340</v>
      </c>
      <c r="B606" s="44">
        <v>23</v>
      </c>
      <c r="C606" s="44">
        <v>12</v>
      </c>
      <c r="D606" s="39" t="s">
        <v>432</v>
      </c>
      <c r="E606" s="44"/>
      <c r="F606" s="147" t="s">
        <v>476</v>
      </c>
      <c r="G606" s="146">
        <v>700</v>
      </c>
      <c r="H606" s="107">
        <f>SUM(H603:H605)</f>
        <v>347648.59646753245</v>
      </c>
      <c r="I606" s="107">
        <f>SUM(I603:I605)</f>
        <v>0</v>
      </c>
      <c r="J606" s="107">
        <f>SUM(J603:J605)</f>
        <v>35209.16353246753</v>
      </c>
      <c r="K606" s="107">
        <f>SUM(K603:K605)</f>
        <v>382857.76</v>
      </c>
      <c r="L606" s="24" t="s">
        <v>288</v>
      </c>
      <c r="M606" s="8"/>
      <c r="N606" s="262"/>
    </row>
    <row r="607" spans="1:14" s="3" customFormat="1" ht="12.2" customHeight="1" x14ac:dyDescent="0.15">
      <c r="A607" s="22"/>
      <c r="B607" s="104"/>
      <c r="C607" s="104"/>
      <c r="D607" s="104"/>
      <c r="E607" s="104"/>
      <c r="F607" s="102"/>
      <c r="G607" s="102"/>
      <c r="H607" s="102"/>
      <c r="I607" s="102"/>
      <c r="J607" s="102"/>
      <c r="K607" s="102"/>
      <c r="L607" s="87"/>
      <c r="M607" s="8"/>
      <c r="N607" s="262"/>
    </row>
    <row r="608" spans="1:14" s="3" customFormat="1" ht="12.2" customHeight="1" x14ac:dyDescent="0.15">
      <c r="A608" s="95"/>
      <c r="B608" s="104"/>
      <c r="C608" s="104"/>
      <c r="D608" s="104"/>
      <c r="E608" s="104"/>
      <c r="F608" s="102"/>
      <c r="G608" s="102"/>
      <c r="H608" s="102"/>
      <c r="I608" s="102"/>
      <c r="J608" s="102"/>
      <c r="K608" s="102"/>
      <c r="L608" s="87"/>
      <c r="M608" s="8"/>
      <c r="N608" s="262"/>
    </row>
    <row r="609" spans="1:14" s="3" customFormat="1" ht="12.2" customHeight="1" x14ac:dyDescent="0.15">
      <c r="A609" s="95" t="s">
        <v>581</v>
      </c>
      <c r="B609" s="104"/>
      <c r="C609" s="104"/>
      <c r="D609" s="104"/>
      <c r="E609" s="104"/>
      <c r="F609" s="102"/>
      <c r="G609" s="102"/>
      <c r="H609" s="102"/>
      <c r="I609" s="102"/>
      <c r="J609" s="102"/>
      <c r="K609" s="102"/>
      <c r="L609" s="87"/>
      <c r="M609" s="8"/>
      <c r="N609" s="262"/>
    </row>
    <row r="610" spans="1:14" s="3" customFormat="1" ht="12.2" customHeight="1" x14ac:dyDescent="0.15">
      <c r="B610" s="104"/>
      <c r="C610" s="104"/>
      <c r="D610" s="104"/>
      <c r="E610" s="104"/>
      <c r="F610" s="175" t="s">
        <v>689</v>
      </c>
      <c r="G610" s="175" t="s">
        <v>690</v>
      </c>
      <c r="H610" s="175" t="s">
        <v>691</v>
      </c>
      <c r="I610" s="175" t="s">
        <v>692</v>
      </c>
      <c r="J610" s="175" t="s">
        <v>693</v>
      </c>
      <c r="K610" s="175" t="s">
        <v>694</v>
      </c>
      <c r="L610" s="87"/>
      <c r="M610" s="8"/>
      <c r="N610" s="262"/>
    </row>
    <row r="611" spans="1:14" s="3" customFormat="1" ht="12.2" customHeight="1" x14ac:dyDescent="0.15">
      <c r="A611" s="95" t="s">
        <v>89</v>
      </c>
      <c r="B611" s="104"/>
      <c r="C611" s="104"/>
      <c r="D611" s="104"/>
      <c r="E611" s="104"/>
      <c r="F611" s="102" t="s">
        <v>54</v>
      </c>
      <c r="G611" s="102" t="s">
        <v>55</v>
      </c>
      <c r="H611" s="102" t="s">
        <v>56</v>
      </c>
      <c r="I611" s="102" t="s">
        <v>57</v>
      </c>
      <c r="J611" s="102" t="s">
        <v>58</v>
      </c>
      <c r="K611" s="102" t="s">
        <v>59</v>
      </c>
      <c r="L611" s="105" t="s">
        <v>5</v>
      </c>
      <c r="M611" s="8"/>
      <c r="N611" s="262"/>
    </row>
    <row r="612" spans="1:14" s="3" customFormat="1" ht="12.2" customHeight="1" x14ac:dyDescent="0.15">
      <c r="A612" s="22" t="s">
        <v>633</v>
      </c>
      <c r="B612" s="74">
        <v>23</v>
      </c>
      <c r="C612" s="74">
        <v>13</v>
      </c>
      <c r="D612" s="2" t="s">
        <v>432</v>
      </c>
      <c r="E612" s="74"/>
      <c r="F612" s="18">
        <v>25268.400000000001</v>
      </c>
      <c r="G612" s="18">
        <v>6374.7188499999993</v>
      </c>
      <c r="H612" s="18">
        <v>0</v>
      </c>
      <c r="I612" s="18">
        <v>0</v>
      </c>
      <c r="J612" s="18">
        <v>0</v>
      </c>
      <c r="K612" s="18">
        <v>0</v>
      </c>
      <c r="L612" s="87">
        <f>SUM(F612:K612)</f>
        <v>31643.118849999999</v>
      </c>
      <c r="M612" s="8"/>
      <c r="N612" s="262"/>
    </row>
    <row r="613" spans="1:14" s="3" customFormat="1" ht="12.2" customHeight="1" x14ac:dyDescent="0.15">
      <c r="A613" s="22" t="s">
        <v>634</v>
      </c>
      <c r="B613" s="74">
        <v>23</v>
      </c>
      <c r="C613" s="74">
        <v>14</v>
      </c>
      <c r="D613" s="2" t="s">
        <v>432</v>
      </c>
      <c r="E613" s="74"/>
      <c r="F613" s="18">
        <v>0</v>
      </c>
      <c r="G613" s="18">
        <v>0</v>
      </c>
      <c r="H613" s="18">
        <v>0</v>
      </c>
      <c r="I613" s="18">
        <v>0</v>
      </c>
      <c r="J613" s="18">
        <v>0</v>
      </c>
      <c r="K613" s="18">
        <v>0</v>
      </c>
      <c r="L613" s="87">
        <f>SUM(F613:K613)</f>
        <v>0</v>
      </c>
      <c r="M613" s="8"/>
      <c r="N613" s="262"/>
    </row>
    <row r="614" spans="1:14" s="3" customFormat="1" ht="12.2" customHeight="1" thickBot="1" x14ac:dyDescent="0.2">
      <c r="A614" s="22" t="s">
        <v>645</v>
      </c>
      <c r="B614" s="74">
        <v>23</v>
      </c>
      <c r="C614" s="74">
        <v>15</v>
      </c>
      <c r="D614" s="2" t="s">
        <v>432</v>
      </c>
      <c r="E614" s="74"/>
      <c r="F614" s="18">
        <v>9030.11</v>
      </c>
      <c r="G614" s="18">
        <v>2280.1027749999998</v>
      </c>
      <c r="H614" s="18">
        <v>0</v>
      </c>
      <c r="I614" s="18">
        <v>0</v>
      </c>
      <c r="J614" s="18">
        <v>0</v>
      </c>
      <c r="K614" s="18">
        <v>0</v>
      </c>
      <c r="L614" s="87">
        <f>SUM(F614:K614)</f>
        <v>11310.212775</v>
      </c>
      <c r="M614" s="8"/>
      <c r="N614" s="262"/>
    </row>
    <row r="615" spans="1:14" s="3" customFormat="1" ht="12.2" customHeight="1" thickTop="1" x14ac:dyDescent="0.15">
      <c r="A615" s="97" t="s">
        <v>340</v>
      </c>
      <c r="B615" s="106">
        <v>23</v>
      </c>
      <c r="C615" s="106">
        <v>16</v>
      </c>
      <c r="D615" s="39" t="s">
        <v>432</v>
      </c>
      <c r="E615" s="106"/>
      <c r="F615" s="107">
        <f t="shared" ref="F615:L615" si="50">SUM(F612:F614)</f>
        <v>34298.51</v>
      </c>
      <c r="G615" s="107">
        <f t="shared" si="50"/>
        <v>8654.8216249999987</v>
      </c>
      <c r="H615" s="107">
        <f t="shared" si="50"/>
        <v>0</v>
      </c>
      <c r="I615" s="107">
        <f t="shared" si="50"/>
        <v>0</v>
      </c>
      <c r="J615" s="107">
        <f t="shared" si="50"/>
        <v>0</v>
      </c>
      <c r="K615" s="107">
        <f t="shared" si="50"/>
        <v>0</v>
      </c>
      <c r="L615" s="88">
        <f t="shared" si="50"/>
        <v>42953.331624999999</v>
      </c>
      <c r="M615" s="8"/>
    </row>
    <row r="616" spans="1:14" s="3" customFormat="1" ht="12.2" customHeight="1" x14ac:dyDescent="0.15">
      <c r="A616" s="96"/>
      <c r="B616" s="104"/>
      <c r="C616" s="104"/>
      <c r="D616" s="104"/>
      <c r="E616" s="104"/>
      <c r="F616" s="108"/>
      <c r="G616" s="108"/>
      <c r="H616" s="108"/>
      <c r="I616" s="108"/>
      <c r="J616" s="108"/>
      <c r="K616" s="108"/>
      <c r="L616" s="108"/>
      <c r="M616" s="8"/>
    </row>
    <row r="617" spans="1:14" s="3" customFormat="1" ht="12.2" customHeight="1" x14ac:dyDescent="0.15">
      <c r="A617" s="96"/>
      <c r="B617" s="104"/>
      <c r="C617" s="104"/>
      <c r="D617" s="104"/>
      <c r="E617" s="104"/>
      <c r="F617" s="148" t="s">
        <v>53</v>
      </c>
      <c r="G617" s="149"/>
      <c r="H617" s="149"/>
      <c r="I617" s="148" t="s">
        <v>53</v>
      </c>
      <c r="J617" s="108"/>
      <c r="K617" s="108"/>
      <c r="L617" s="108"/>
      <c r="M617" s="8"/>
    </row>
    <row r="618" spans="1:14" s="3" customFormat="1" ht="12.2" customHeight="1" x14ac:dyDescent="0.15">
      <c r="A618" s="96" t="s">
        <v>99</v>
      </c>
      <c r="B618" s="104"/>
      <c r="C618" s="104"/>
      <c r="D618" s="104"/>
      <c r="E618" s="104"/>
      <c r="F618" s="120" t="s">
        <v>683</v>
      </c>
      <c r="G618" s="108">
        <f>SUM(F19)</f>
        <v>1139681.08</v>
      </c>
      <c r="H618" s="108">
        <f>SUM(F52)</f>
        <v>1139681.0799999998</v>
      </c>
      <c r="I618" s="120" t="s">
        <v>875</v>
      </c>
      <c r="J618" s="108">
        <f>G618-H618</f>
        <v>0</v>
      </c>
      <c r="K618" s="108"/>
      <c r="L618" s="108"/>
      <c r="M618" s="8"/>
    </row>
    <row r="619" spans="1:14" s="3" customFormat="1" ht="12.2" customHeight="1" x14ac:dyDescent="0.15">
      <c r="A619" s="96" t="s">
        <v>100</v>
      </c>
      <c r="B619" s="104"/>
      <c r="C619" s="104"/>
      <c r="D619" s="104"/>
      <c r="E619" s="104"/>
      <c r="F619" s="120" t="s">
        <v>684</v>
      </c>
      <c r="G619" s="108">
        <f>SUM(G19)</f>
        <v>155128.47999999998</v>
      </c>
      <c r="H619" s="108">
        <f>SUM(G52)</f>
        <v>155128.47999999995</v>
      </c>
      <c r="I619" s="120" t="s">
        <v>876</v>
      </c>
      <c r="J619" s="108">
        <f>G619-H619</f>
        <v>0</v>
      </c>
      <c r="K619" s="108"/>
      <c r="L619" s="108"/>
      <c r="M619" s="8"/>
    </row>
    <row r="620" spans="1:14" s="3" customFormat="1" ht="12.2" customHeight="1" x14ac:dyDescent="0.15">
      <c r="A620" s="96"/>
      <c r="B620" s="104"/>
      <c r="C620" s="104"/>
      <c r="D620" s="104"/>
      <c r="E620" s="104"/>
      <c r="F620" s="120" t="s">
        <v>685</v>
      </c>
      <c r="G620" s="108">
        <f>SUM(H19)</f>
        <v>641444.98</v>
      </c>
      <c r="H620" s="108">
        <f>SUM(H52)</f>
        <v>641444.9800000001</v>
      </c>
      <c r="I620" s="120" t="s">
        <v>877</v>
      </c>
      <c r="J620" s="108">
        <f>G620-H620</f>
        <v>0</v>
      </c>
      <c r="K620" s="108"/>
      <c r="L620" s="108"/>
      <c r="M620" s="8"/>
    </row>
    <row r="621" spans="1:14" s="3" customFormat="1" ht="12.2" customHeight="1" x14ac:dyDescent="0.15">
      <c r="A621" s="96"/>
      <c r="B621" s="104"/>
      <c r="C621" s="104"/>
      <c r="D621" s="104"/>
      <c r="E621" s="104"/>
      <c r="F621" s="120" t="s">
        <v>686</v>
      </c>
      <c r="G621" s="108">
        <f>SUM(I19)</f>
        <v>0</v>
      </c>
      <c r="H621" s="108">
        <f>SUM(I52)</f>
        <v>0</v>
      </c>
      <c r="I621" s="120" t="s">
        <v>878</v>
      </c>
      <c r="J621" s="108">
        <f>G621-H621</f>
        <v>0</v>
      </c>
      <c r="K621" s="108"/>
      <c r="L621" s="108"/>
      <c r="M621" s="8"/>
    </row>
    <row r="622" spans="1:14" s="3" customFormat="1" ht="12.2" customHeight="1" x14ac:dyDescent="0.15">
      <c r="A622" s="96"/>
      <c r="B622" s="104"/>
      <c r="C622" s="104"/>
      <c r="D622" s="104"/>
      <c r="E622" s="104"/>
      <c r="F622" s="120" t="s">
        <v>687</v>
      </c>
      <c r="G622" s="108">
        <f>SUM(J19)</f>
        <v>1187347.98</v>
      </c>
      <c r="H622" s="108">
        <f>SUM(J52)</f>
        <v>1187347.98</v>
      </c>
      <c r="I622" s="120" t="s">
        <v>879</v>
      </c>
      <c r="J622" s="108">
        <f>G622-H622</f>
        <v>0</v>
      </c>
      <c r="K622" s="108"/>
      <c r="L622" s="108"/>
      <c r="M622" s="8"/>
    </row>
    <row r="623" spans="1:14" s="3" customFormat="1" ht="12.2" customHeight="1" x14ac:dyDescent="0.15">
      <c r="A623" s="96"/>
      <c r="B623" s="104"/>
      <c r="C623" s="104"/>
      <c r="D623" s="104"/>
      <c r="E623" s="104"/>
      <c r="F623" s="120" t="s">
        <v>865</v>
      </c>
      <c r="G623" s="108">
        <f>F51</f>
        <v>980606.17999999993</v>
      </c>
      <c r="H623" s="108">
        <f>F477</f>
        <v>980606.1799999997</v>
      </c>
      <c r="I623" s="120" t="s">
        <v>101</v>
      </c>
      <c r="J623" s="108">
        <f t="shared" ref="J623:J656" si="51">G623-H623</f>
        <v>0</v>
      </c>
      <c r="K623" s="108"/>
      <c r="L623" s="108"/>
      <c r="M623" s="8"/>
    </row>
    <row r="624" spans="1:14" s="3" customFormat="1" ht="12.2" customHeight="1" x14ac:dyDescent="0.15">
      <c r="A624" s="96"/>
      <c r="B624" s="104"/>
      <c r="C624" s="118"/>
      <c r="D624" s="118"/>
      <c r="E624" s="118"/>
      <c r="F624" s="118" t="s">
        <v>866</v>
      </c>
      <c r="G624" s="108">
        <f>G51</f>
        <v>4308.6099999999997</v>
      </c>
      <c r="H624" s="108">
        <f>G477</f>
        <v>4308.6100000000442</v>
      </c>
      <c r="I624" s="120" t="s">
        <v>102</v>
      </c>
      <c r="J624" s="108">
        <f t="shared" si="51"/>
        <v>-4.4565240386873484E-11</v>
      </c>
      <c r="K624" s="108"/>
      <c r="L624" s="108"/>
      <c r="M624" s="8"/>
    </row>
    <row r="625" spans="1:13" s="3" customFormat="1" ht="12.2" customHeight="1" x14ac:dyDescent="0.15">
      <c r="A625" s="96"/>
      <c r="B625" s="104"/>
      <c r="C625" s="104"/>
      <c r="D625" s="104"/>
      <c r="E625" s="104"/>
      <c r="F625" s="119" t="s">
        <v>867</v>
      </c>
      <c r="G625" s="108">
        <f>H51</f>
        <v>0.79</v>
      </c>
      <c r="H625" s="108">
        <f>H477</f>
        <v>0.7900000000372529</v>
      </c>
      <c r="I625" s="120" t="s">
        <v>103</v>
      </c>
      <c r="J625" s="108">
        <f t="shared" si="51"/>
        <v>-3.7252867457482353E-11</v>
      </c>
      <c r="K625" s="108"/>
      <c r="L625" s="108"/>
      <c r="M625" s="8"/>
    </row>
    <row r="626" spans="1:13" s="3" customFormat="1" ht="12.2" customHeight="1" x14ac:dyDescent="0.15">
      <c r="A626" s="96"/>
      <c r="B626" s="104"/>
      <c r="C626" s="104"/>
      <c r="D626" s="104"/>
      <c r="E626" s="104"/>
      <c r="F626" s="119" t="s">
        <v>868</v>
      </c>
      <c r="G626" s="108">
        <f>I51</f>
        <v>0</v>
      </c>
      <c r="H626" s="108">
        <f>I477</f>
        <v>0</v>
      </c>
      <c r="I626" s="120" t="s">
        <v>104</v>
      </c>
      <c r="J626" s="108">
        <f t="shared" si="51"/>
        <v>0</v>
      </c>
      <c r="K626" s="108"/>
      <c r="L626" s="108"/>
      <c r="M626" s="8"/>
    </row>
    <row r="627" spans="1:13" s="3" customFormat="1" ht="12.2" customHeight="1" x14ac:dyDescent="0.15">
      <c r="A627" s="22"/>
      <c r="B627" s="104"/>
      <c r="C627" s="104"/>
      <c r="D627" s="104"/>
      <c r="E627" s="104"/>
      <c r="F627" s="119" t="s">
        <v>869</v>
      </c>
      <c r="G627" s="108">
        <f>J51</f>
        <v>1187347.98</v>
      </c>
      <c r="H627" s="108">
        <f>J477</f>
        <v>1187347.98</v>
      </c>
      <c r="I627" s="139" t="s">
        <v>105</v>
      </c>
      <c r="J627" s="108">
        <f t="shared" si="51"/>
        <v>0</v>
      </c>
      <c r="K627" s="84"/>
      <c r="L627" s="87"/>
      <c r="M627" s="8"/>
    </row>
    <row r="628" spans="1:13" s="3" customFormat="1" ht="12.2" customHeight="1" x14ac:dyDescent="0.15">
      <c r="A628" s="22"/>
      <c r="B628" s="104"/>
      <c r="C628" s="104"/>
      <c r="D628" s="104"/>
      <c r="E628" s="104"/>
      <c r="F628" s="119" t="s">
        <v>658</v>
      </c>
      <c r="G628" s="108">
        <f>F194</f>
        <v>15021094.040000001</v>
      </c>
      <c r="H628" s="103">
        <f>SUM(F469)</f>
        <v>15021094.040000001</v>
      </c>
      <c r="I628" s="139" t="s">
        <v>106</v>
      </c>
      <c r="J628" s="108">
        <f>G628-H628</f>
        <v>0</v>
      </c>
      <c r="K628" s="84"/>
      <c r="L628" s="87"/>
      <c r="M628" s="8"/>
    </row>
    <row r="629" spans="1:13" s="3" customFormat="1" ht="12.2" customHeight="1" x14ac:dyDescent="0.15">
      <c r="A629" s="22"/>
      <c r="B629" s="104"/>
      <c r="C629" s="104"/>
      <c r="D629" s="104"/>
      <c r="E629" s="104"/>
      <c r="F629" s="119" t="s">
        <v>659</v>
      </c>
      <c r="G629" s="108">
        <f>G194</f>
        <v>453437.12</v>
      </c>
      <c r="H629" s="103">
        <f>SUM(G469)</f>
        <v>453437.12</v>
      </c>
      <c r="I629" s="139" t="s">
        <v>107</v>
      </c>
      <c r="J629" s="108">
        <f>G629-H629</f>
        <v>0</v>
      </c>
      <c r="K629" s="84"/>
      <c r="L629" s="87"/>
      <c r="M629" s="8"/>
    </row>
    <row r="630" spans="1:13" s="3" customFormat="1" ht="12.2" customHeight="1" x14ac:dyDescent="0.15">
      <c r="A630" s="22"/>
      <c r="B630" s="104"/>
      <c r="C630" s="104"/>
      <c r="D630" s="104"/>
      <c r="E630" s="104"/>
      <c r="F630" s="119" t="s">
        <v>660</v>
      </c>
      <c r="G630" s="108">
        <f>H194</f>
        <v>1346202.0999999999</v>
      </c>
      <c r="H630" s="103">
        <f>SUM(H469)</f>
        <v>1346202.0999999999</v>
      </c>
      <c r="I630" s="139" t="s">
        <v>108</v>
      </c>
      <c r="J630" s="108">
        <f>G630-H630</f>
        <v>0</v>
      </c>
      <c r="K630" s="84"/>
      <c r="L630" s="87"/>
      <c r="M630" s="8"/>
    </row>
    <row r="631" spans="1:13" s="3" customFormat="1" ht="12.2" customHeight="1" x14ac:dyDescent="0.15">
      <c r="A631" s="22"/>
      <c r="B631" s="104"/>
      <c r="C631" s="104"/>
      <c r="D631" s="104"/>
      <c r="E631" s="104"/>
      <c r="F631" s="119" t="s">
        <v>661</v>
      </c>
      <c r="G631" s="108">
        <f>I194</f>
        <v>0</v>
      </c>
      <c r="H631" s="103">
        <f>SUM(I469)</f>
        <v>0</v>
      </c>
      <c r="I631" s="139" t="s">
        <v>109</v>
      </c>
      <c r="J631" s="108">
        <f>G631-H631</f>
        <v>0</v>
      </c>
      <c r="K631" s="84"/>
      <c r="L631" s="87"/>
      <c r="M631" s="8"/>
    </row>
    <row r="632" spans="1:13" s="3" customFormat="1" ht="12.2" customHeight="1" x14ac:dyDescent="0.15">
      <c r="A632" s="22"/>
      <c r="B632" s="104"/>
      <c r="C632" s="104"/>
      <c r="D632" s="104"/>
      <c r="E632" s="104"/>
      <c r="F632" s="119" t="s">
        <v>662</v>
      </c>
      <c r="G632" s="108">
        <f>J194</f>
        <v>187003.42</v>
      </c>
      <c r="H632" s="103">
        <f>SUM(J469)</f>
        <v>187003.42</v>
      </c>
      <c r="I632" s="139" t="s">
        <v>110</v>
      </c>
      <c r="J632" s="108">
        <f>G632-H632</f>
        <v>0</v>
      </c>
      <c r="K632" s="84"/>
      <c r="L632" s="87"/>
      <c r="M632" s="8"/>
    </row>
    <row r="633" spans="1:13" s="3" customFormat="1" ht="12.2" customHeight="1" x14ac:dyDescent="0.15">
      <c r="A633" s="22"/>
      <c r="B633" s="104"/>
      <c r="C633" s="104"/>
      <c r="D633" s="104"/>
      <c r="E633" s="104"/>
      <c r="F633" s="119" t="s">
        <v>394</v>
      </c>
      <c r="G633" s="108">
        <f>SUM(L272)</f>
        <v>15085501.300000001</v>
      </c>
      <c r="H633" s="103">
        <f>SUM(F473)</f>
        <v>15085501.300000001</v>
      </c>
      <c r="I633" s="139" t="s">
        <v>111</v>
      </c>
      <c r="J633" s="108">
        <f t="shared" si="51"/>
        <v>0</v>
      </c>
      <c r="K633" s="84"/>
      <c r="L633" s="87"/>
      <c r="M633" s="8"/>
    </row>
    <row r="634" spans="1:13" s="3" customFormat="1" ht="12.2" customHeight="1" x14ac:dyDescent="0.15">
      <c r="A634" s="22"/>
      <c r="B634" s="104"/>
      <c r="C634" s="104"/>
      <c r="D634" s="104"/>
      <c r="E634" s="104"/>
      <c r="F634" s="119" t="s">
        <v>395</v>
      </c>
      <c r="G634" s="108">
        <f>SUM(L353)</f>
        <v>1346202.0999999999</v>
      </c>
      <c r="H634" s="103">
        <f>SUM(H473)</f>
        <v>1346202.0999999999</v>
      </c>
      <c r="I634" s="139" t="s">
        <v>112</v>
      </c>
      <c r="J634" s="108">
        <f>G634-H634</f>
        <v>0</v>
      </c>
      <c r="K634" s="84"/>
      <c r="L634" s="87"/>
      <c r="M634" s="8"/>
    </row>
    <row r="635" spans="1:13" s="167" customFormat="1" ht="12.2" customHeight="1" x14ac:dyDescent="0.15">
      <c r="A635" s="22"/>
      <c r="B635" s="104"/>
      <c r="C635" s="104"/>
      <c r="D635" s="104"/>
      <c r="E635" s="104"/>
      <c r="F635" s="141" t="s">
        <v>247</v>
      </c>
      <c r="G635" s="108">
        <f>I363</f>
        <v>0</v>
      </c>
      <c r="H635" s="103">
        <f>I370</f>
        <v>0</v>
      </c>
      <c r="I635" s="142" t="s">
        <v>248</v>
      </c>
      <c r="J635" s="108">
        <f>G635-H635</f>
        <v>0</v>
      </c>
      <c r="K635" s="84"/>
      <c r="L635" s="87"/>
      <c r="M635" s="166"/>
    </row>
    <row r="636" spans="1:13" s="167" customFormat="1" ht="12.2" customHeight="1" x14ac:dyDescent="0.15">
      <c r="A636" s="22"/>
      <c r="B636" s="104"/>
      <c r="C636" s="104"/>
      <c r="D636" s="104"/>
      <c r="E636" s="104"/>
      <c r="F636" s="119" t="s">
        <v>113</v>
      </c>
      <c r="G636" s="108">
        <f>SUM(L363)</f>
        <v>449129.22</v>
      </c>
      <c r="H636" s="103">
        <f>SUM(G473)</f>
        <v>449129.22</v>
      </c>
      <c r="I636" s="139" t="s">
        <v>114</v>
      </c>
      <c r="J636" s="108">
        <f t="shared" si="51"/>
        <v>0</v>
      </c>
      <c r="K636" s="84"/>
      <c r="L636" s="87"/>
      <c r="M636" s="166"/>
    </row>
    <row r="637" spans="1:13" s="3" customFormat="1" ht="12.2" customHeight="1" x14ac:dyDescent="0.15">
      <c r="A637" s="22"/>
      <c r="B637" s="104"/>
      <c r="C637" s="104"/>
      <c r="D637" s="104"/>
      <c r="E637" s="104"/>
      <c r="F637" s="119" t="s">
        <v>115</v>
      </c>
      <c r="G637" s="108">
        <f>SUM(L383)</f>
        <v>0</v>
      </c>
      <c r="H637" s="103">
        <f>SUM(I473)</f>
        <v>0</v>
      </c>
      <c r="I637" s="139" t="s">
        <v>116</v>
      </c>
      <c r="J637" s="108">
        <f t="shared" si="51"/>
        <v>0</v>
      </c>
      <c r="K637" s="84"/>
      <c r="L637" s="87"/>
      <c r="M637" s="8"/>
    </row>
    <row r="638" spans="1:13" s="3" customFormat="1" ht="12.2" customHeight="1" x14ac:dyDescent="0.15">
      <c r="A638" s="159"/>
      <c r="B638" s="160"/>
      <c r="C638" s="160"/>
      <c r="D638" s="160"/>
      <c r="E638" s="160"/>
      <c r="F638" s="161" t="s">
        <v>477</v>
      </c>
      <c r="G638" s="149">
        <f>SUM(L409)</f>
        <v>187003.42</v>
      </c>
      <c r="H638" s="162">
        <f>SUM(J469)</f>
        <v>187003.42</v>
      </c>
      <c r="I638" s="163" t="s">
        <v>110</v>
      </c>
      <c r="J638" s="149">
        <f t="shared" si="51"/>
        <v>0</v>
      </c>
      <c r="K638" s="164"/>
      <c r="L638" s="165"/>
      <c r="M638" s="8"/>
    </row>
    <row r="639" spans="1:13" s="3" customFormat="1" ht="12.2" customHeight="1" x14ac:dyDescent="0.15">
      <c r="A639" s="159"/>
      <c r="B639" s="160"/>
      <c r="C639" s="160"/>
      <c r="D639" s="160"/>
      <c r="E639" s="160"/>
      <c r="F639" s="161" t="s">
        <v>478</v>
      </c>
      <c r="G639" s="149">
        <f>SUM(L435)</f>
        <v>204927</v>
      </c>
      <c r="H639" s="162">
        <f>SUM(J473)</f>
        <v>204927</v>
      </c>
      <c r="I639" s="163" t="s">
        <v>117</v>
      </c>
      <c r="J639" s="149">
        <f t="shared" si="51"/>
        <v>0</v>
      </c>
      <c r="K639" s="164"/>
      <c r="L639" s="165"/>
      <c r="M639" s="8"/>
    </row>
    <row r="640" spans="1:13" s="3" customFormat="1" ht="12.2" customHeight="1" x14ac:dyDescent="0.15">
      <c r="A640" s="22"/>
      <c r="B640" s="104"/>
      <c r="C640" s="104"/>
      <c r="D640" s="104"/>
      <c r="E640" s="104"/>
      <c r="F640" s="119" t="s">
        <v>118</v>
      </c>
      <c r="G640" s="108">
        <f>SUM(F447)</f>
        <v>979302.40999999992</v>
      </c>
      <c r="H640" s="103">
        <f>SUM(F462)</f>
        <v>979302.40999999992</v>
      </c>
      <c r="I640" s="139" t="s">
        <v>841</v>
      </c>
      <c r="J640" s="108">
        <f t="shared" si="51"/>
        <v>0</v>
      </c>
      <c r="K640" s="84"/>
      <c r="L640" s="87"/>
      <c r="M640" s="8"/>
    </row>
    <row r="641" spans="1:13" s="3" customFormat="1" ht="12.2" customHeight="1" x14ac:dyDescent="0.15">
      <c r="A641" s="22"/>
      <c r="B641" s="104"/>
      <c r="C641" s="104"/>
      <c r="D641" s="104"/>
      <c r="E641" s="104"/>
      <c r="F641" s="119" t="s">
        <v>119</v>
      </c>
      <c r="G641" s="108">
        <f>SUM(G447)</f>
        <v>208045.57</v>
      </c>
      <c r="H641" s="103">
        <f>SUM(G462)</f>
        <v>208045.57</v>
      </c>
      <c r="I641" s="139" t="s">
        <v>842</v>
      </c>
      <c r="J641" s="108">
        <f t="shared" si="51"/>
        <v>0</v>
      </c>
      <c r="K641" s="84"/>
      <c r="L641" s="87"/>
      <c r="M641" s="8"/>
    </row>
    <row r="642" spans="1:13" s="3" customFormat="1" ht="12.2" customHeight="1" x14ac:dyDescent="0.15">
      <c r="A642" s="22"/>
      <c r="B642" s="104"/>
      <c r="C642" s="104"/>
      <c r="D642" s="104"/>
      <c r="E642" s="104"/>
      <c r="F642" s="119" t="s">
        <v>120</v>
      </c>
      <c r="G642" s="108">
        <f>SUM(H447)</f>
        <v>0</v>
      </c>
      <c r="H642" s="103">
        <f>SUM(H462)</f>
        <v>0</v>
      </c>
      <c r="I642" s="139" t="s">
        <v>843</v>
      </c>
      <c r="J642" s="108">
        <f t="shared" si="51"/>
        <v>0</v>
      </c>
      <c r="K642" s="84"/>
      <c r="L642" s="87"/>
      <c r="M642" s="8"/>
    </row>
    <row r="643" spans="1:13" s="3" customFormat="1" ht="12.2" customHeight="1" x14ac:dyDescent="0.15">
      <c r="A643" s="22"/>
      <c r="B643" s="104"/>
      <c r="C643" s="104"/>
      <c r="D643" s="104"/>
      <c r="E643" s="104"/>
      <c r="F643" s="119" t="s">
        <v>121</v>
      </c>
      <c r="G643" s="108">
        <f>SUM(I447)</f>
        <v>1187347.98</v>
      </c>
      <c r="H643" s="103">
        <f>SUM(I462)</f>
        <v>1187347.98</v>
      </c>
      <c r="I643" s="139" t="s">
        <v>844</v>
      </c>
      <c r="J643" s="108">
        <f t="shared" si="51"/>
        <v>0</v>
      </c>
      <c r="K643" s="84"/>
      <c r="L643" s="87"/>
      <c r="M643" s="8"/>
    </row>
    <row r="644" spans="1:13" s="3" customFormat="1" ht="12.2" customHeight="1" x14ac:dyDescent="0.15">
      <c r="A644" s="22"/>
      <c r="B644" s="104"/>
      <c r="C644" s="104"/>
      <c r="D644" s="104"/>
      <c r="E644" s="104"/>
      <c r="F644" s="119" t="s">
        <v>249</v>
      </c>
      <c r="G644" s="108">
        <f>J57</f>
        <v>0</v>
      </c>
      <c r="H644" s="103">
        <f>F409</f>
        <v>0</v>
      </c>
      <c r="I644" s="139" t="s">
        <v>479</v>
      </c>
      <c r="J644" s="108">
        <f t="shared" si="51"/>
        <v>0</v>
      </c>
      <c r="K644" s="84"/>
      <c r="L644" s="87"/>
      <c r="M644" s="8"/>
    </row>
    <row r="645" spans="1:13" s="3" customFormat="1" ht="12.2" customHeight="1" x14ac:dyDescent="0.15">
      <c r="A645" s="22"/>
      <c r="B645" s="104"/>
      <c r="C645" s="104"/>
      <c r="D645" s="104"/>
      <c r="E645" s="104"/>
      <c r="F645" s="119" t="s">
        <v>663</v>
      </c>
      <c r="G645" s="108">
        <f>J96</f>
        <v>2003.42</v>
      </c>
      <c r="H645" s="103">
        <f>H409</f>
        <v>2003.42</v>
      </c>
      <c r="I645" s="139" t="s">
        <v>480</v>
      </c>
      <c r="J645" s="108">
        <f t="shared" si="51"/>
        <v>0</v>
      </c>
      <c r="K645" s="84"/>
      <c r="L645" s="87"/>
      <c r="M645" s="8"/>
    </row>
    <row r="646" spans="1:13" s="3" customFormat="1" ht="12.2" customHeight="1" x14ac:dyDescent="0.15">
      <c r="A646" s="22"/>
      <c r="B646" s="104"/>
      <c r="C646" s="104"/>
      <c r="D646" s="104"/>
      <c r="E646" s="104"/>
      <c r="F646" s="119" t="s">
        <v>664</v>
      </c>
      <c r="G646" s="108">
        <f>J184</f>
        <v>185000</v>
      </c>
      <c r="H646" s="103">
        <f>G409</f>
        <v>185000</v>
      </c>
      <c r="I646" s="139" t="s">
        <v>481</v>
      </c>
      <c r="J646" s="108">
        <f t="shared" si="51"/>
        <v>0</v>
      </c>
      <c r="K646" s="84"/>
      <c r="L646" s="87"/>
      <c r="M646" s="8"/>
    </row>
    <row r="647" spans="1:13" s="3" customFormat="1" ht="12.2" customHeight="1" x14ac:dyDescent="0.15">
      <c r="A647" s="22"/>
      <c r="B647" s="104"/>
      <c r="C647" s="104"/>
      <c r="D647" s="104"/>
      <c r="E647" s="104"/>
      <c r="F647" s="119" t="s">
        <v>662</v>
      </c>
      <c r="G647" s="108">
        <f>J194</f>
        <v>187003.42</v>
      </c>
      <c r="H647" s="103">
        <f>L409</f>
        <v>187003.42</v>
      </c>
      <c r="I647" s="139" t="s">
        <v>477</v>
      </c>
      <c r="J647" s="108">
        <f t="shared" si="51"/>
        <v>0</v>
      </c>
      <c r="K647" s="84"/>
      <c r="L647" s="87"/>
      <c r="M647" s="8"/>
    </row>
    <row r="648" spans="1:13" s="3" customFormat="1" ht="12.2" customHeight="1" x14ac:dyDescent="0.15">
      <c r="A648" s="22"/>
      <c r="B648" s="104"/>
      <c r="C648" s="104"/>
      <c r="D648" s="104"/>
      <c r="E648" s="104"/>
      <c r="F648" s="119" t="s">
        <v>51</v>
      </c>
      <c r="G648" s="108">
        <f>K599</f>
        <v>432903.89999999997</v>
      </c>
      <c r="H648" s="103">
        <f>L209+L227+L245</f>
        <v>432903.89999999991</v>
      </c>
      <c r="I648" s="139" t="s">
        <v>396</v>
      </c>
      <c r="J648" s="108">
        <f t="shared" si="51"/>
        <v>0</v>
      </c>
      <c r="K648" s="84"/>
      <c r="L648" s="87"/>
      <c r="M648" s="8"/>
    </row>
    <row r="649" spans="1:13" s="3" customFormat="1" ht="12.2" customHeight="1" x14ac:dyDescent="0.15">
      <c r="A649" s="22"/>
      <c r="B649" s="104"/>
      <c r="C649" s="104"/>
      <c r="D649" s="104"/>
      <c r="E649" s="104"/>
      <c r="F649" s="119" t="s">
        <v>52</v>
      </c>
      <c r="G649" s="108">
        <f>K606</f>
        <v>382857.76</v>
      </c>
      <c r="H649" s="103">
        <f>(J258+J339)-(J256+J337)</f>
        <v>382857.76</v>
      </c>
      <c r="I649" s="139" t="s">
        <v>699</v>
      </c>
      <c r="J649" s="108">
        <f t="shared" si="51"/>
        <v>0</v>
      </c>
      <c r="K649" s="84"/>
      <c r="L649" s="87"/>
      <c r="M649" s="8"/>
    </row>
    <row r="650" spans="1:13" s="3" customFormat="1" ht="12.2" customHeight="1" x14ac:dyDescent="0.15">
      <c r="A650" s="22"/>
      <c r="B650" s="104"/>
      <c r="C650" s="104"/>
      <c r="D650" s="104"/>
      <c r="E650" s="104"/>
      <c r="F650" s="119" t="s">
        <v>387</v>
      </c>
      <c r="G650" s="108">
        <f>L209</f>
        <v>278931.32702597394</v>
      </c>
      <c r="H650" s="103">
        <f>H599</f>
        <v>278931.32702597399</v>
      </c>
      <c r="I650" s="139" t="s">
        <v>388</v>
      </c>
      <c r="J650" s="108">
        <f t="shared" si="51"/>
        <v>0</v>
      </c>
      <c r="K650" s="84"/>
      <c r="L650" s="87"/>
      <c r="M650" s="8"/>
    </row>
    <row r="651" spans="1:13" s="3" customFormat="1" ht="12.2" customHeight="1" x14ac:dyDescent="0.15">
      <c r="A651" s="22"/>
      <c r="B651" s="104"/>
      <c r="C651" s="104"/>
      <c r="D651" s="104"/>
      <c r="E651" s="104"/>
      <c r="F651" s="119" t="s">
        <v>392</v>
      </c>
      <c r="G651" s="108">
        <f>L227</f>
        <v>0</v>
      </c>
      <c r="H651" s="103">
        <f>I599</f>
        <v>0</v>
      </c>
      <c r="I651" s="139" t="s">
        <v>389</v>
      </c>
      <c r="J651" s="108">
        <f t="shared" si="51"/>
        <v>0</v>
      </c>
      <c r="K651" s="84"/>
      <c r="L651" s="87"/>
      <c r="M651" s="8"/>
    </row>
    <row r="652" spans="1:13" s="3" customFormat="1" ht="12.2" customHeight="1" x14ac:dyDescent="0.15">
      <c r="A652" s="22"/>
      <c r="B652" s="104"/>
      <c r="C652" s="104"/>
      <c r="D652" s="104"/>
      <c r="E652" s="104"/>
      <c r="F652" s="119" t="s">
        <v>393</v>
      </c>
      <c r="G652" s="108">
        <f>L245</f>
        <v>153972.572974026</v>
      </c>
      <c r="H652" s="103">
        <f>J599</f>
        <v>153972.57297402597</v>
      </c>
      <c r="I652" s="139" t="s">
        <v>390</v>
      </c>
      <c r="J652" s="108">
        <f t="shared" si="51"/>
        <v>0</v>
      </c>
      <c r="K652" s="84"/>
      <c r="L652" s="87"/>
      <c r="M652" s="8"/>
    </row>
    <row r="653" spans="1:13" s="3" customFormat="1" ht="12.2" customHeight="1" x14ac:dyDescent="0.15">
      <c r="A653" s="22"/>
      <c r="B653" s="104"/>
      <c r="C653" s="104"/>
      <c r="D653" s="104"/>
      <c r="E653" s="104"/>
      <c r="F653" s="119" t="s">
        <v>665</v>
      </c>
      <c r="G653" s="108">
        <f>G180</f>
        <v>30000</v>
      </c>
      <c r="H653" s="103">
        <f>K264+K346</f>
        <v>30000</v>
      </c>
      <c r="I653" s="139" t="s">
        <v>397</v>
      </c>
      <c r="J653" s="108">
        <f t="shared" si="51"/>
        <v>0</v>
      </c>
      <c r="K653" s="84"/>
      <c r="L653" s="87"/>
      <c r="M653" s="8"/>
    </row>
    <row r="654" spans="1:13" s="3" customFormat="1" ht="12.2" customHeight="1" x14ac:dyDescent="0.15">
      <c r="A654" s="22"/>
      <c r="B654" s="104"/>
      <c r="C654" s="104"/>
      <c r="D654" s="104"/>
      <c r="E654" s="104"/>
      <c r="F654" s="119" t="s">
        <v>666</v>
      </c>
      <c r="G654" s="108">
        <f>H180</f>
        <v>0</v>
      </c>
      <c r="H654" s="103">
        <f>K265</f>
        <v>0</v>
      </c>
      <c r="I654" s="139" t="s">
        <v>398</v>
      </c>
      <c r="J654" s="108">
        <f t="shared" si="51"/>
        <v>0</v>
      </c>
      <c r="K654" s="84"/>
      <c r="L654" s="87"/>
      <c r="M654" s="8"/>
    </row>
    <row r="655" spans="1:13" s="3" customFormat="1" ht="12.2" customHeight="1" x14ac:dyDescent="0.15">
      <c r="A655" s="22"/>
      <c r="B655" s="104"/>
      <c r="C655" s="104"/>
      <c r="D655" s="104"/>
      <c r="E655" s="104"/>
      <c r="F655" s="119" t="s">
        <v>667</v>
      </c>
      <c r="G655" s="108">
        <f>I180</f>
        <v>0</v>
      </c>
      <c r="H655" s="103">
        <f>K266+K347</f>
        <v>0</v>
      </c>
      <c r="I655" s="139" t="s">
        <v>399</v>
      </c>
      <c r="J655" s="108">
        <f t="shared" si="51"/>
        <v>0</v>
      </c>
      <c r="K655" s="84"/>
      <c r="L655" s="87"/>
      <c r="M655" s="8"/>
    </row>
    <row r="656" spans="1:13" s="3" customFormat="1" ht="12.2" customHeight="1" x14ac:dyDescent="0.15">
      <c r="A656" s="22"/>
      <c r="B656" s="104"/>
      <c r="C656" s="104"/>
      <c r="D656" s="104"/>
      <c r="E656" s="104"/>
      <c r="F656" s="119" t="s">
        <v>668</v>
      </c>
      <c r="G656" s="108">
        <f>J180+J182</f>
        <v>185000</v>
      </c>
      <c r="H656" s="103">
        <f>K267+K348</f>
        <v>185000</v>
      </c>
      <c r="I656" s="139" t="s">
        <v>400</v>
      </c>
      <c r="J656" s="108">
        <f t="shared" si="51"/>
        <v>0</v>
      </c>
      <c r="K656" s="84"/>
      <c r="L656" s="87"/>
      <c r="M656" s="9"/>
    </row>
    <row r="657" spans="1:13" s="3" customFormat="1" ht="12.2" customHeight="1" x14ac:dyDescent="0.15">
      <c r="A657" s="126"/>
      <c r="B657" s="126"/>
      <c r="C657" s="126"/>
      <c r="D657" s="126"/>
      <c r="E657" s="126"/>
      <c r="F657" s="26" t="s">
        <v>122</v>
      </c>
      <c r="G657" s="19"/>
      <c r="H657" s="103">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9" t="s">
        <v>1624</v>
      </c>
      <c r="F660" s="14" t="s">
        <v>286</v>
      </c>
      <c r="G660" s="13"/>
      <c r="H660" s="13"/>
      <c r="I660" s="13"/>
      <c r="J660" s="13"/>
      <c r="K660" s="13"/>
      <c r="L660" s="13"/>
      <c r="M660" s="9"/>
    </row>
    <row r="661" spans="1:13" s="3" customFormat="1" ht="12.2" customHeight="1" x14ac:dyDescent="0.15">
      <c r="A661" s="1" t="s">
        <v>126</v>
      </c>
      <c r="F661" s="19">
        <f>(L212+L291+L359)</f>
        <v>11276124.106701298</v>
      </c>
      <c r="G661" s="19">
        <f>(L230+L310+L360)</f>
        <v>0</v>
      </c>
      <c r="H661" s="19">
        <f>(L248+L329+L361)</f>
        <v>5389708.5132987015</v>
      </c>
      <c r="I661" s="19">
        <f>SUM(F661:H661)</f>
        <v>16665832.619999999</v>
      </c>
      <c r="J661" s="13"/>
      <c r="K661" s="13"/>
      <c r="L661" s="13"/>
      <c r="M661" s="9"/>
    </row>
    <row r="662" spans="1:13" s="3" customFormat="1" ht="12.2" customHeight="1" x14ac:dyDescent="0.2">
      <c r="A662" s="1" t="s">
        <v>127</v>
      </c>
      <c r="F662" s="19">
        <f>(L359/IF(SUM(L359:L361)=0,1,SUM(L359:L361))*(SUM(G97:G110)))</f>
        <v>11096.681857142856</v>
      </c>
      <c r="G662" s="19">
        <f>(L360/IF(SUM(L359:L361)=0,1,SUM(L359:L361))*(SUM(G97:G110)))</f>
        <v>0</v>
      </c>
      <c r="H662" s="19">
        <f>(L361/IF(SUM(L359:L361)=0,1,SUM(L359:L361))*(SUM(G97:G110)))</f>
        <v>5055.388142857144</v>
      </c>
      <c r="I662" s="19">
        <f>SUM(F662:H662)</f>
        <v>16152.07</v>
      </c>
      <c r="J662"/>
      <c r="K662" s="13"/>
      <c r="L662" s="13"/>
      <c r="M662" s="8"/>
    </row>
    <row r="663" spans="1:13" s="3" customFormat="1" ht="12.2" customHeight="1" x14ac:dyDescent="0.2">
      <c r="A663" s="1" t="s">
        <v>128</v>
      </c>
      <c r="F663" s="19">
        <f>(L209+L288)-(J209+J288)</f>
        <v>276407.4336753246</v>
      </c>
      <c r="G663" s="19">
        <f>(L227+L307)-(J227+J307)</f>
        <v>0</v>
      </c>
      <c r="H663" s="19">
        <f>(L245+L326)-(J245+J326)</f>
        <v>152822.74632467533</v>
      </c>
      <c r="I663" s="19">
        <f>SUM(F663:H663)</f>
        <v>429230.17999999993</v>
      </c>
      <c r="J663"/>
      <c r="K663" s="13"/>
      <c r="L663" s="13"/>
      <c r="M663" s="9"/>
    </row>
    <row r="664" spans="1:13" s="3" customFormat="1" ht="12.2" customHeight="1" x14ac:dyDescent="0.15">
      <c r="A664" s="196" t="s">
        <v>129</v>
      </c>
      <c r="B664" s="167"/>
      <c r="C664" s="167"/>
      <c r="D664" s="167"/>
      <c r="E664" s="167"/>
      <c r="F664" s="197">
        <f>SUM(F576:F588)+SUM(H603:H605)+SUM(L612)</f>
        <v>671270.51531753247</v>
      </c>
      <c r="G664" s="197">
        <f>SUM(G576:G588)+SUM(I603:I605)+L613</f>
        <v>0</v>
      </c>
      <c r="H664" s="197">
        <f>SUM(H576:H588)+SUM(J603:J605)+L614</f>
        <v>659279.09630746767</v>
      </c>
      <c r="I664" s="19">
        <f>SUM(F664:H664)</f>
        <v>1330549.6116250001</v>
      </c>
      <c r="J664" s="13"/>
      <c r="K664" s="13"/>
      <c r="L664" s="13"/>
      <c r="M664" s="9"/>
    </row>
    <row r="665" spans="1:13" s="3" customFormat="1" ht="12.2" customHeight="1" x14ac:dyDescent="0.15">
      <c r="A665" s="1" t="s">
        <v>130</v>
      </c>
      <c r="F665" s="19">
        <f>F661-SUM(F662:F664)</f>
        <v>10317349.475851297</v>
      </c>
      <c r="G665" s="19">
        <f>G661-SUM(G662:G664)</f>
        <v>0</v>
      </c>
      <c r="H665" s="19">
        <f>H661-SUM(H662:H664)</f>
        <v>4572551.282523701</v>
      </c>
      <c r="I665" s="19">
        <f>I661-SUM(I662:I664)</f>
        <v>14889900.758374998</v>
      </c>
      <c r="J665" s="13"/>
      <c r="K665" s="13"/>
      <c r="L665" s="13"/>
      <c r="M665" s="8"/>
    </row>
    <row r="666" spans="1:13" s="3" customFormat="1" ht="12.2" customHeight="1" x14ac:dyDescent="0.25">
      <c r="A666" s="1" t="s">
        <v>131</v>
      </c>
      <c r="F666" s="357">
        <v>514.6</v>
      </c>
      <c r="G666" s="357">
        <v>0</v>
      </c>
      <c r="H666" s="357">
        <v>241.52</v>
      </c>
      <c r="I666" s="19">
        <f>SUM(F666:H666)</f>
        <v>756.12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20049.259999999998</v>
      </c>
      <c r="G668" s="19" t="e">
        <f>ROUND(G665/G666,2)</f>
        <v>#DIV/0!</v>
      </c>
      <c r="H668" s="19">
        <f>ROUND(H665/H666,2)</f>
        <v>18932.39</v>
      </c>
      <c r="I668" s="19">
        <f>ROUND(I665/I666,2)</f>
        <v>19692.509999999998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-5.66</v>
      </c>
      <c r="I671" s="19">
        <f>SUM(F671:H671)</f>
        <v>-5.66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20049.259999999998</v>
      </c>
      <c r="G673" s="19" t="e">
        <f>ROUND((G665+G670)/(G666+G671),2)</f>
        <v>#DIV/0!</v>
      </c>
      <c r="H673" s="19">
        <f>ROUND((H665+H670)/(H666+H671),2)</f>
        <v>19386.72</v>
      </c>
      <c r="I673" s="19">
        <f>ROUND((I665+I670)/(I666+I671),2)</f>
        <v>19841.03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7" zoomScaleNormal="100" workbookViewId="0">
      <selection activeCell="E23" sqref="E23"/>
    </sheetView>
  </sheetViews>
  <sheetFormatPr defaultColWidth="9.33203125" defaultRowHeight="15" x14ac:dyDescent="0.25"/>
  <cols>
    <col min="1" max="2" width="9.33203125" style="337"/>
    <col min="3" max="3" width="154.5" style="337" customWidth="1"/>
    <col min="4" max="4" width="9.33203125" style="337"/>
    <col min="5" max="5" width="14.1640625" style="337" customWidth="1"/>
    <col min="6" max="7" width="9.33203125" style="337"/>
    <col min="8" max="8" width="23.33203125" style="337" customWidth="1"/>
    <col min="9" max="9" width="14.33203125" style="337" customWidth="1"/>
    <col min="10" max="16384" width="9.33203125" style="337"/>
  </cols>
  <sheetData>
    <row r="2" spans="2:6" x14ac:dyDescent="0.25">
      <c r="C2" s="358" t="s">
        <v>1669</v>
      </c>
      <c r="D2" s="358"/>
      <c r="E2" s="358"/>
    </row>
    <row r="3" spans="2:6" x14ac:dyDescent="0.25">
      <c r="C3" s="351"/>
    </row>
    <row r="5" spans="2:6" x14ac:dyDescent="0.25">
      <c r="B5" s="339" t="s">
        <v>1645</v>
      </c>
      <c r="C5" s="339"/>
      <c r="D5" s="339" t="s">
        <v>1646</v>
      </c>
      <c r="E5" s="340" t="s">
        <v>1647</v>
      </c>
      <c r="F5" s="341"/>
    </row>
    <row r="6" spans="2:6" x14ac:dyDescent="0.25">
      <c r="B6" s="341"/>
      <c r="C6" s="341"/>
      <c r="D6" s="341"/>
      <c r="E6" s="341"/>
      <c r="F6" s="341"/>
    </row>
    <row r="7" spans="2:6" x14ac:dyDescent="0.25">
      <c r="B7" s="341"/>
      <c r="C7" s="341" t="s">
        <v>1648</v>
      </c>
      <c r="D7" s="341" t="s">
        <v>1649</v>
      </c>
      <c r="E7" s="338">
        <f>'DOE25'!F162+'DOE25'!H162</f>
        <v>298731.08999999997</v>
      </c>
      <c r="F7" s="341"/>
    </row>
    <row r="8" spans="2:6" x14ac:dyDescent="0.25">
      <c r="B8" s="341"/>
      <c r="C8" s="341"/>
      <c r="D8" s="341"/>
      <c r="E8" s="341"/>
      <c r="F8" s="341"/>
    </row>
    <row r="9" spans="2:6" x14ac:dyDescent="0.25">
      <c r="B9" s="341"/>
      <c r="C9" s="341" t="s">
        <v>1650</v>
      </c>
      <c r="D9" s="341" t="s">
        <v>1651</v>
      </c>
      <c r="E9" s="355">
        <v>0</v>
      </c>
      <c r="F9" s="341"/>
    </row>
    <row r="10" spans="2:6" x14ac:dyDescent="0.25">
      <c r="B10" s="341"/>
      <c r="C10" s="341"/>
      <c r="D10" s="341"/>
      <c r="E10" s="341"/>
      <c r="F10" s="341"/>
    </row>
    <row r="11" spans="2:6" x14ac:dyDescent="0.25">
      <c r="B11" s="341"/>
      <c r="C11" s="341" t="s">
        <v>1652</v>
      </c>
      <c r="D11" s="341" t="s">
        <v>1653</v>
      </c>
      <c r="E11" s="355">
        <v>0</v>
      </c>
      <c r="F11" s="341"/>
    </row>
    <row r="12" spans="2:6" x14ac:dyDescent="0.25">
      <c r="B12" s="341"/>
      <c r="C12" s="341"/>
      <c r="D12" s="341"/>
      <c r="E12" s="341"/>
      <c r="F12" s="341"/>
    </row>
    <row r="13" spans="2:6" x14ac:dyDescent="0.25">
      <c r="B13" s="341"/>
      <c r="C13" s="341" t="s">
        <v>1654</v>
      </c>
      <c r="D13" s="341" t="s">
        <v>1655</v>
      </c>
      <c r="E13" s="355">
        <v>0</v>
      </c>
      <c r="F13" s="341"/>
    </row>
    <row r="14" spans="2:6" x14ac:dyDescent="0.25">
      <c r="B14" s="341"/>
      <c r="C14" s="341"/>
      <c r="D14" s="341"/>
      <c r="E14" s="341"/>
      <c r="F14" s="341"/>
    </row>
    <row r="15" spans="2:6" x14ac:dyDescent="0.25">
      <c r="B15" s="341"/>
      <c r="C15" s="341" t="s">
        <v>1656</v>
      </c>
      <c r="D15" s="341" t="s">
        <v>1657</v>
      </c>
      <c r="E15" s="355">
        <v>0</v>
      </c>
      <c r="F15" s="341"/>
    </row>
    <row r="16" spans="2:6" x14ac:dyDescent="0.25">
      <c r="B16" s="341"/>
      <c r="C16" s="341"/>
      <c r="D16" s="341"/>
      <c r="E16" s="341"/>
      <c r="F16" s="341"/>
    </row>
    <row r="17" spans="2:8" x14ac:dyDescent="0.25">
      <c r="B17" s="341"/>
      <c r="C17" s="341" t="s">
        <v>1658</v>
      </c>
      <c r="D17" s="342">
        <v>21.018999999999998</v>
      </c>
      <c r="E17" s="355">
        <v>158800</v>
      </c>
      <c r="F17" s="341"/>
    </row>
    <row r="18" spans="2:8" x14ac:dyDescent="0.25">
      <c r="B18" s="341"/>
      <c r="C18" s="341"/>
      <c r="D18" s="341"/>
      <c r="E18" s="341"/>
      <c r="F18" s="341"/>
    </row>
    <row r="20" spans="2:8" x14ac:dyDescent="0.25">
      <c r="B20" s="339" t="s">
        <v>1659</v>
      </c>
      <c r="C20" s="339"/>
      <c r="D20" s="339"/>
      <c r="E20" s="340" t="s">
        <v>1647</v>
      </c>
      <c r="F20" s="341"/>
    </row>
    <row r="21" spans="2:8" x14ac:dyDescent="0.25">
      <c r="B21" s="341"/>
      <c r="C21" s="341"/>
      <c r="D21" s="341"/>
      <c r="E21" s="341"/>
      <c r="F21" s="341"/>
    </row>
    <row r="22" spans="2:8" ht="27" customHeight="1" x14ac:dyDescent="0.25">
      <c r="B22" s="341"/>
      <c r="C22" s="343" t="s">
        <v>1660</v>
      </c>
      <c r="D22" s="341"/>
      <c r="E22" s="355">
        <f>130487.52+E26</f>
        <v>358850.66000000003</v>
      </c>
      <c r="F22" s="341"/>
    </row>
    <row r="23" spans="2:8" x14ac:dyDescent="0.25">
      <c r="B23" s="341"/>
      <c r="C23" s="341"/>
      <c r="D23" s="341"/>
      <c r="E23" s="341"/>
      <c r="F23" s="341"/>
    </row>
    <row r="24" spans="2:8" ht="26.25" customHeight="1" x14ac:dyDescent="0.25">
      <c r="B24" s="341"/>
      <c r="C24" s="343" t="s">
        <v>1661</v>
      </c>
      <c r="D24" s="341"/>
      <c r="E24" s="355">
        <v>2581.88</v>
      </c>
      <c r="F24" s="341"/>
    </row>
    <row r="25" spans="2:8" ht="18" x14ac:dyDescent="0.25">
      <c r="B25" s="341"/>
      <c r="C25" s="344"/>
      <c r="D25" s="341"/>
      <c r="E25" s="341"/>
      <c r="F25" s="341"/>
    </row>
    <row r="26" spans="2:8" ht="27.75" customHeight="1" x14ac:dyDescent="0.25">
      <c r="B26" s="341"/>
      <c r="C26" s="343" t="s">
        <v>1662</v>
      </c>
      <c r="D26" s="341"/>
      <c r="E26" s="355">
        <v>228363.14</v>
      </c>
      <c r="F26" s="341"/>
    </row>
    <row r="27" spans="2:8" x14ac:dyDescent="0.25">
      <c r="B27" s="341"/>
      <c r="C27" s="343"/>
      <c r="D27" s="341"/>
      <c r="E27" s="341"/>
      <c r="F27" s="341"/>
    </row>
    <row r="28" spans="2:8" ht="15.75" customHeight="1" x14ac:dyDescent="0.25">
      <c r="B28" s="341"/>
      <c r="C28" s="343" t="s">
        <v>1663</v>
      </c>
      <c r="D28" s="341"/>
      <c r="E28" s="356">
        <v>86669.77</v>
      </c>
      <c r="F28" s="341"/>
    </row>
    <row r="29" spans="2:8" x14ac:dyDescent="0.25">
      <c r="B29" s="341"/>
      <c r="C29" s="341"/>
      <c r="D29" s="341"/>
      <c r="E29" s="341"/>
      <c r="F29" s="341"/>
    </row>
    <row r="30" spans="2:8" ht="16.5" customHeight="1" x14ac:dyDescent="0.25">
      <c r="B30" s="341"/>
      <c r="C30" s="343" t="s">
        <v>1664</v>
      </c>
      <c r="D30" s="341"/>
      <c r="E30" s="355">
        <v>0</v>
      </c>
      <c r="F30" s="341"/>
    </row>
    <row r="31" spans="2:8" x14ac:dyDescent="0.25">
      <c r="B31" s="341"/>
      <c r="C31" s="341"/>
      <c r="D31" s="341"/>
      <c r="E31" s="341"/>
      <c r="F31" s="341"/>
      <c r="H31" s="353"/>
    </row>
    <row r="33" spans="2:3" x14ac:dyDescent="0.25">
      <c r="B33" s="350" t="s">
        <v>1670</v>
      </c>
      <c r="C33" s="352"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59" t="s">
        <v>1575</v>
      </c>
      <c r="B1" s="359"/>
      <c r="C1" s="359"/>
      <c r="D1" s="359"/>
      <c r="E1" s="359"/>
      <c r="F1" s="359"/>
      <c r="G1" s="359"/>
      <c r="H1" s="359"/>
    </row>
    <row r="2" spans="1:9" ht="15" x14ac:dyDescent="0.2">
      <c r="A2" s="359" t="s">
        <v>1627</v>
      </c>
      <c r="B2" s="359"/>
      <c r="C2" s="359"/>
      <c r="D2" s="359"/>
      <c r="E2" s="359"/>
      <c r="F2" s="359"/>
      <c r="G2" s="359"/>
      <c r="H2" s="359"/>
    </row>
    <row r="3" spans="1:9" ht="15.75" x14ac:dyDescent="0.25">
      <c r="A3" s="319" t="s">
        <v>1589</v>
      </c>
      <c r="B3" s="320" t="s">
        <v>1622</v>
      </c>
      <c r="C3" s="318"/>
      <c r="D3" s="318"/>
      <c r="E3" s="318"/>
      <c r="F3" s="318"/>
      <c r="G3" s="318"/>
      <c r="H3" s="318"/>
      <c r="I3" t="s">
        <v>1621</v>
      </c>
    </row>
    <row r="4" spans="1:9" x14ac:dyDescent="0.2">
      <c r="I4" t="s">
        <v>1622</v>
      </c>
    </row>
    <row r="5" spans="1:9" ht="15.75" x14ac:dyDescent="0.25">
      <c r="A5" s="314" t="s">
        <v>908</v>
      </c>
      <c r="B5" s="360" t="str">
        <f>'DOE25'!A2</f>
        <v>Farmington</v>
      </c>
      <c r="C5" s="361"/>
      <c r="D5" s="361"/>
      <c r="E5" s="361"/>
      <c r="F5" s="361"/>
    </row>
    <row r="8" spans="1:9" ht="18" x14ac:dyDescent="0.25">
      <c r="A8" s="315" t="s">
        <v>1576</v>
      </c>
      <c r="F8" s="322" t="s">
        <v>1594</v>
      </c>
    </row>
    <row r="9" spans="1:9" ht="15" x14ac:dyDescent="0.2">
      <c r="A9" s="313" t="s">
        <v>1577</v>
      </c>
      <c r="B9" s="316">
        <f>'DOE25'!G97</f>
        <v>16152.07</v>
      </c>
      <c r="F9" s="313" t="s">
        <v>1590</v>
      </c>
    </row>
    <row r="10" spans="1:9" ht="15" x14ac:dyDescent="0.2">
      <c r="A10" s="313" t="s">
        <v>1578</v>
      </c>
      <c r="B10" s="316">
        <f>'DOE25'!G112-'DOE25'!G97</f>
        <v>0</v>
      </c>
      <c r="F10" s="313" t="s">
        <v>1591</v>
      </c>
    </row>
    <row r="11" spans="1:9" ht="15" x14ac:dyDescent="0.2">
      <c r="A11" s="313" t="s">
        <v>1579</v>
      </c>
      <c r="B11" s="316">
        <f>'DOE25'!G140</f>
        <v>6452.99</v>
      </c>
      <c r="F11" s="313" t="s">
        <v>1592</v>
      </c>
    </row>
    <row r="12" spans="1:9" ht="15" x14ac:dyDescent="0.2">
      <c r="A12" s="313" t="s">
        <v>1580</v>
      </c>
      <c r="B12" s="316">
        <f>'DOE25'!G170</f>
        <v>400832.06</v>
      </c>
      <c r="F12" s="313" t="s">
        <v>1593</v>
      </c>
    </row>
    <row r="13" spans="1:9" ht="15" x14ac:dyDescent="0.2">
      <c r="A13" s="313" t="s">
        <v>1581</v>
      </c>
      <c r="B13" s="316">
        <f>'DOE25'!G193-'DOE25'!G180</f>
        <v>0</v>
      </c>
      <c r="F13" s="313" t="s">
        <v>1603</v>
      </c>
    </row>
    <row r="14" spans="1:9" ht="18" x14ac:dyDescent="0.25">
      <c r="A14" s="315" t="s">
        <v>732</v>
      </c>
      <c r="B14" s="317">
        <f>SUM(B9:B13)</f>
        <v>423437.12</v>
      </c>
    </row>
    <row r="16" spans="1:9" ht="18" x14ac:dyDescent="0.25">
      <c r="A16" s="315" t="s">
        <v>786</v>
      </c>
      <c r="F16" s="322" t="s">
        <v>1595</v>
      </c>
    </row>
    <row r="17" spans="1:6" ht="15" x14ac:dyDescent="0.2">
      <c r="A17" s="313" t="s">
        <v>1582</v>
      </c>
      <c r="B17" s="316">
        <f>'DOE25'!L363-'DOE25'!L362</f>
        <v>449129.22</v>
      </c>
      <c r="F17" s="313" t="s">
        <v>1596</v>
      </c>
    </row>
    <row r="18" spans="1:6" ht="15" x14ac:dyDescent="0.2">
      <c r="A18" s="313" t="s">
        <v>1583</v>
      </c>
      <c r="B18" s="326">
        <v>0</v>
      </c>
      <c r="F18" s="322" t="s">
        <v>1620</v>
      </c>
    </row>
    <row r="19" spans="1:6" ht="18" x14ac:dyDescent="0.25">
      <c r="A19" s="315" t="s">
        <v>725</v>
      </c>
      <c r="B19" s="317">
        <f>SUM(B17:B18)</f>
        <v>449129.22</v>
      </c>
    </row>
    <row r="21" spans="1:6" ht="18.75" thickBot="1" x14ac:dyDescent="0.3">
      <c r="A21" s="315" t="s">
        <v>1584</v>
      </c>
    </row>
    <row r="22" spans="1:6" ht="18.75" thickTop="1" x14ac:dyDescent="0.25">
      <c r="A22" s="315" t="s">
        <v>1585</v>
      </c>
      <c r="B22" s="321">
        <f>B14-B19</f>
        <v>-25692.099999999977</v>
      </c>
      <c r="F22" s="313" t="s">
        <v>1597</v>
      </c>
    </row>
    <row r="26" spans="1:6" ht="18" x14ac:dyDescent="0.25">
      <c r="A26" s="315" t="s">
        <v>186</v>
      </c>
    </row>
    <row r="27" spans="1:6" ht="15" x14ac:dyDescent="0.2">
      <c r="A27" s="313" t="s">
        <v>1586</v>
      </c>
      <c r="B27" s="316">
        <f>'DOE25'!G180</f>
        <v>30000</v>
      </c>
      <c r="F27" s="313" t="s">
        <v>1598</v>
      </c>
    </row>
    <row r="28" spans="1:6" ht="15" x14ac:dyDescent="0.2">
      <c r="A28" s="313" t="s">
        <v>1588</v>
      </c>
      <c r="B28" s="316">
        <f>'DOE25'!L362</f>
        <v>0</v>
      </c>
      <c r="F28" s="313" t="s">
        <v>1599</v>
      </c>
    </row>
    <row r="31" spans="1:6" ht="15" x14ac:dyDescent="0.2">
      <c r="A31" s="313" t="s">
        <v>1628</v>
      </c>
      <c r="B31" s="316">
        <f>'DOE25'!G466</f>
        <v>0.71</v>
      </c>
      <c r="F31" s="313" t="s">
        <v>1600</v>
      </c>
    </row>
    <row r="33" spans="1:6" ht="15" x14ac:dyDescent="0.2">
      <c r="A33" s="313" t="s">
        <v>1629</v>
      </c>
      <c r="B33" s="316">
        <f>'DOE25'!G477</f>
        <v>4308.6100000000442</v>
      </c>
      <c r="F33" s="313" t="s">
        <v>1601</v>
      </c>
    </row>
    <row r="36" spans="1:6" ht="15" x14ac:dyDescent="0.2">
      <c r="A36" s="313" t="s">
        <v>1587</v>
      </c>
      <c r="B36" s="354">
        <v>35973.85</v>
      </c>
      <c r="F36" s="322"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93"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Farmington</v>
      </c>
      <c r="C1" s="236" t="s">
        <v>824</v>
      </c>
    </row>
    <row r="2" spans="1:3" x14ac:dyDescent="0.2">
      <c r="A2" s="231"/>
      <c r="B2" s="230"/>
    </row>
    <row r="3" spans="1:3" x14ac:dyDescent="0.2">
      <c r="A3" s="358" t="s">
        <v>780</v>
      </c>
      <c r="B3" s="358"/>
      <c r="C3" s="358"/>
    </row>
    <row r="4" spans="1:3" x14ac:dyDescent="0.2">
      <c r="A4" s="234"/>
      <c r="B4" s="235" t="str">
        <f>'DOE25'!H1</f>
        <v>DOE 25  2020-2021</v>
      </c>
      <c r="C4" s="234"/>
    </row>
    <row r="5" spans="1:3" x14ac:dyDescent="0.2">
      <c r="A5" s="231"/>
      <c r="B5" s="230"/>
    </row>
    <row r="6" spans="1:3" x14ac:dyDescent="0.2">
      <c r="A6" s="225"/>
      <c r="B6" s="364" t="s">
        <v>779</v>
      </c>
      <c r="C6" s="364"/>
    </row>
    <row r="7" spans="1:3" x14ac:dyDescent="0.2">
      <c r="A7" s="237" t="s">
        <v>782</v>
      </c>
      <c r="B7" s="362" t="s">
        <v>778</v>
      </c>
      <c r="C7" s="363"/>
    </row>
    <row r="8" spans="1:3" x14ac:dyDescent="0.2">
      <c r="B8" s="226" t="s">
        <v>54</v>
      </c>
      <c r="C8" s="226" t="s">
        <v>772</v>
      </c>
    </row>
    <row r="9" spans="1:3" x14ac:dyDescent="0.2">
      <c r="A9" s="33" t="s">
        <v>773</v>
      </c>
      <c r="B9" s="227">
        <f>'DOE25'!F198+'DOE25'!F216+'DOE25'!F234+'DOE25'!F277+'DOE25'!F296+'DOE25'!F315</f>
        <v>3828346.31</v>
      </c>
      <c r="C9" s="227">
        <f>'DOE25'!G198+'DOE25'!G216+'DOE25'!G234+'DOE25'!G277+'DOE25'!G296+'DOE25'!G315</f>
        <v>1753736.13</v>
      </c>
    </row>
    <row r="10" spans="1:3" x14ac:dyDescent="0.2">
      <c r="A10" t="s">
        <v>775</v>
      </c>
      <c r="B10" s="238">
        <f>1090242.29+16478.7+1207675.88+35077.01+972900.46+64549.69+12275+16000+221832+120022</f>
        <v>3757053.03</v>
      </c>
      <c r="C10" s="238">
        <f>1512603.66+87029.55-56.82+2085+834+39486.1+17647.86</f>
        <v>1659629.35</v>
      </c>
    </row>
    <row r="11" spans="1:3" x14ac:dyDescent="0.2">
      <c r="A11" t="s">
        <v>776</v>
      </c>
      <c r="B11" s="238">
        <f>11228.66+25750</f>
        <v>36978.660000000003</v>
      </c>
      <c r="C11" s="238">
        <f>44874.22+23460.78+16970.15+8744.81</f>
        <v>94049.959999999992</v>
      </c>
    </row>
    <row r="12" spans="1:3" x14ac:dyDescent="0.2">
      <c r="A12" t="s">
        <v>777</v>
      </c>
      <c r="B12" s="238">
        <f>32803.4+1511.22</f>
        <v>34314.620000000003</v>
      </c>
      <c r="C12" s="238">
        <f>16.91+39.91</f>
        <v>56.819999999999993</v>
      </c>
    </row>
    <row r="13" spans="1:3" x14ac:dyDescent="0.2">
      <c r="A13" t="str">
        <f>IF(B9=B13,IF(C9=C13,"Check Total OK","Check Total Error"),"Check Total Error")</f>
        <v>Check Total OK</v>
      </c>
      <c r="B13" s="229">
        <f>SUM(B10:B12)</f>
        <v>3828346.31</v>
      </c>
      <c r="C13" s="229">
        <f>SUM(C10:C12)</f>
        <v>1753736.1300000001</v>
      </c>
    </row>
    <row r="14" spans="1:3" x14ac:dyDescent="0.2">
      <c r="B14" s="228"/>
      <c r="C14" s="228"/>
    </row>
    <row r="15" spans="1:3" x14ac:dyDescent="0.2">
      <c r="B15" s="364" t="s">
        <v>779</v>
      </c>
      <c r="C15" s="364"/>
    </row>
    <row r="16" spans="1:3" x14ac:dyDescent="0.2">
      <c r="A16" s="237" t="s">
        <v>783</v>
      </c>
      <c r="B16" s="362" t="s">
        <v>703</v>
      </c>
      <c r="C16" s="363"/>
    </row>
    <row r="17" spans="1:3" x14ac:dyDescent="0.2">
      <c r="B17" s="226" t="s">
        <v>54</v>
      </c>
      <c r="C17" s="226" t="s">
        <v>772</v>
      </c>
    </row>
    <row r="18" spans="1:3" x14ac:dyDescent="0.2">
      <c r="A18" s="33" t="s">
        <v>773</v>
      </c>
      <c r="B18" s="227">
        <f>'DOE25'!F199+'DOE25'!F217+'DOE25'!F235+'DOE25'!F278+'DOE25'!F297+'DOE25'!F316</f>
        <v>1783658.5000000002</v>
      </c>
      <c r="C18" s="227">
        <f>'DOE25'!G199+'DOE25'!G217+'DOE25'!G235+'DOE25'!G278+'DOE25'!G297+'DOE25'!G316</f>
        <v>536196.69999999995</v>
      </c>
    </row>
    <row r="19" spans="1:3" x14ac:dyDescent="0.2">
      <c r="A19" t="s">
        <v>775</v>
      </c>
      <c r="B19" s="238">
        <f>146523.23+12627.61+212749.4+5168.29+193950.28+4281.4+82953+13500+10604.99+6000+52991+576.96+62118.83</f>
        <v>804044.98999999987</v>
      </c>
      <c r="C19" s="238">
        <f>7304.87+47589.69+80080.14+65516.6+43050.29+40432.59+36910.7+29106.3+18955.67+391.34+11741.22</f>
        <v>381079.41000000003</v>
      </c>
    </row>
    <row r="20" spans="1:3" x14ac:dyDescent="0.2">
      <c r="A20" t="s">
        <v>776</v>
      </c>
      <c r="B20" s="238">
        <f>4637.63+584+368866.99+305526.97+140994.28+24825.33+23310.79+21469.41</f>
        <v>890215.4</v>
      </c>
      <c r="C20" s="238">
        <f>46898.57+39823.84+25119.84+18220.41+4148.98</f>
        <v>134211.64000000001</v>
      </c>
    </row>
    <row r="21" spans="1:3" x14ac:dyDescent="0.2">
      <c r="A21" t="s">
        <v>777</v>
      </c>
      <c r="B21" s="238">
        <f>1673.28+9830+6311.39+1670+11357.14+58556.3</f>
        <v>89398.11</v>
      </c>
      <c r="C21" s="238">
        <f>2513.66+1997.91+1738.79+4084.04+312.93+12.84+9822.71+392.89+29.88</f>
        <v>20905.649999999998</v>
      </c>
    </row>
    <row r="22" spans="1:3" x14ac:dyDescent="0.2">
      <c r="A22" t="str">
        <f>IF(B18=B22,IF(C18=C22,"Check Total OK","Check Total Error"),"Check Total Error")</f>
        <v>Check Total OK</v>
      </c>
      <c r="B22" s="229">
        <f>SUM(B19:B21)</f>
        <v>1783658.5</v>
      </c>
      <c r="C22" s="229">
        <f>SUM(C19:C21)</f>
        <v>536196.70000000007</v>
      </c>
    </row>
    <row r="23" spans="1:3" x14ac:dyDescent="0.2">
      <c r="B23" s="228"/>
      <c r="C23" s="228"/>
    </row>
    <row r="24" spans="1:3" x14ac:dyDescent="0.2">
      <c r="B24" s="364" t="s">
        <v>779</v>
      </c>
      <c r="C24" s="364"/>
    </row>
    <row r="25" spans="1:3" x14ac:dyDescent="0.2">
      <c r="A25" s="237" t="s">
        <v>784</v>
      </c>
      <c r="B25" s="362" t="s">
        <v>704</v>
      </c>
      <c r="C25" s="363"/>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64" t="s">
        <v>779</v>
      </c>
      <c r="C33" s="364"/>
    </row>
    <row r="34" spans="1:3" x14ac:dyDescent="0.2">
      <c r="A34" s="237" t="s">
        <v>785</v>
      </c>
      <c r="B34" s="362" t="s">
        <v>705</v>
      </c>
      <c r="C34" s="363"/>
    </row>
    <row r="35" spans="1:3" x14ac:dyDescent="0.2">
      <c r="B35" s="226" t="s">
        <v>54</v>
      </c>
      <c r="C35" s="226" t="s">
        <v>772</v>
      </c>
    </row>
    <row r="36" spans="1:3" x14ac:dyDescent="0.2">
      <c r="A36" s="33" t="s">
        <v>773</v>
      </c>
      <c r="B36" s="233">
        <f>'DOE25'!F201+'DOE25'!F219+'DOE25'!F237+'DOE25'!F280+'DOE25'!F299+'DOE25'!F318</f>
        <v>84164.420000000013</v>
      </c>
      <c r="C36" s="233">
        <f>'DOE25'!G201+'DOE25'!G219+'DOE25'!G237+'DOE25'!G280+'DOE25'!G299+'DOE25'!G318</f>
        <v>30668.55</v>
      </c>
    </row>
    <row r="37" spans="1:3" x14ac:dyDescent="0.2">
      <c r="A37" t="s">
        <v>775</v>
      </c>
      <c r="B37" s="238">
        <f>7704.13+34533.72+7760+27007+4164.71+2834.86</f>
        <v>84004.420000000013</v>
      </c>
      <c r="C37" s="238">
        <f>1956.66+26941.73+1059.91+504.62</f>
        <v>30462.92</v>
      </c>
    </row>
    <row r="38" spans="1:3" x14ac:dyDescent="0.2">
      <c r="A38" t="s">
        <v>776</v>
      </c>
      <c r="B38" s="238">
        <v>0</v>
      </c>
      <c r="C38" s="238">
        <v>0</v>
      </c>
    </row>
    <row r="39" spans="1:3" x14ac:dyDescent="0.2">
      <c r="A39" t="s">
        <v>777</v>
      </c>
      <c r="B39" s="238">
        <v>160</v>
      </c>
      <c r="C39" s="238">
        <f>205.63</f>
        <v>205.63</v>
      </c>
    </row>
    <row r="40" spans="1:3" x14ac:dyDescent="0.2">
      <c r="A40" t="str">
        <f>IF(B36=B40,IF(C36=C40,"Check Total OK","Check Total Error"),"Check Total Error")</f>
        <v>Check Total OK</v>
      </c>
      <c r="B40" s="229">
        <f>SUM(B37:B39)</f>
        <v>84164.420000000013</v>
      </c>
      <c r="C40" s="229">
        <f>SUM(C37:C39)</f>
        <v>30668.55</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5" t="s">
        <v>774</v>
      </c>
    </row>
    <row r="49" spans="1:1" x14ac:dyDescent="0.2">
      <c r="A49" s="258" t="s">
        <v>829</v>
      </c>
    </row>
    <row r="50" spans="1:1" x14ac:dyDescent="0.2">
      <c r="A50" s="258" t="s">
        <v>823</v>
      </c>
    </row>
    <row r="51" spans="1:1" x14ac:dyDescent="0.2">
      <c r="A51" s="258" t="s">
        <v>830</v>
      </c>
    </row>
    <row r="52" spans="1:1" x14ac:dyDescent="0.2">
      <c r="A52" s="259"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4" t="s">
        <v>892</v>
      </c>
      <c r="B1" s="367"/>
      <c r="C1" s="367"/>
      <c r="D1" s="367"/>
      <c r="E1" s="367"/>
      <c r="F1" s="367"/>
      <c r="G1" s="367"/>
      <c r="H1" s="367"/>
      <c r="I1" s="179"/>
    </row>
    <row r="2" spans="1:9" x14ac:dyDescent="0.2">
      <c r="A2" s="33" t="s">
        <v>713</v>
      </c>
      <c r="B2" s="256" t="str">
        <f>'DOE25'!A2</f>
        <v>Farmington</v>
      </c>
      <c r="C2" s="273"/>
      <c r="D2" s="179" t="s">
        <v>787</v>
      </c>
      <c r="E2" s="179" t="s">
        <v>789</v>
      </c>
      <c r="F2" s="365" t="s">
        <v>891</v>
      </c>
      <c r="G2" s="366"/>
      <c r="H2" s="366"/>
      <c r="I2" s="268"/>
    </row>
    <row r="3" spans="1:9" x14ac:dyDescent="0.2">
      <c r="A3" s="179" t="s">
        <v>94</v>
      </c>
      <c r="B3" s="226" t="s">
        <v>10</v>
      </c>
      <c r="C3" s="269" t="s">
        <v>5</v>
      </c>
      <c r="D3" s="274" t="s">
        <v>788</v>
      </c>
      <c r="E3" s="179" t="s">
        <v>790</v>
      </c>
      <c r="F3" s="267" t="s">
        <v>1631</v>
      </c>
      <c r="G3" s="265" t="s">
        <v>887</v>
      </c>
      <c r="H3" s="215" t="s">
        <v>59</v>
      </c>
      <c r="I3" s="240" t="s">
        <v>793</v>
      </c>
    </row>
    <row r="4" spans="1:9" ht="14.25" x14ac:dyDescent="0.2">
      <c r="A4" s="245" t="s">
        <v>795</v>
      </c>
      <c r="B4" s="245" t="s">
        <v>811</v>
      </c>
      <c r="C4" s="270" t="s">
        <v>786</v>
      </c>
      <c r="D4" s="245" t="s">
        <v>812</v>
      </c>
      <c r="E4" s="245" t="s">
        <v>812</v>
      </c>
      <c r="F4" s="239" t="s">
        <v>1630</v>
      </c>
      <c r="G4" s="264" t="s">
        <v>792</v>
      </c>
      <c r="H4" s="245" t="s">
        <v>806</v>
      </c>
      <c r="I4" s="246" t="s">
        <v>794</v>
      </c>
    </row>
    <row r="5" spans="1:9" x14ac:dyDescent="0.2">
      <c r="A5" s="32">
        <v>1000</v>
      </c>
      <c r="B5" t="s">
        <v>195</v>
      </c>
      <c r="C5" s="271">
        <f t="shared" ref="C5:C19" si="0">SUM(D5:I5)</f>
        <v>8695438.879999999</v>
      </c>
      <c r="D5" s="20">
        <f>SUM('DOE25'!L198:L201)+SUM('DOE25'!L216:L219)+SUM('DOE25'!L234:L237)-F5-G5-H5</f>
        <v>8499088.6099999994</v>
      </c>
      <c r="E5" s="241"/>
      <c r="F5" s="242">
        <v>171670.75</v>
      </c>
      <c r="G5" s="53">
        <f>SUM('DOE25'!J198:J201)+SUM('DOE25'!J216:J219)+SUM('DOE25'!J234:J237)</f>
        <v>13235.87</v>
      </c>
      <c r="H5" s="53">
        <f>SUM('DOE25'!K198:K201)+SUM('DOE25'!K216:K219)+SUM('DOE25'!K234:K237)</f>
        <v>11443.649999999998</v>
      </c>
      <c r="I5" s="252"/>
    </row>
    <row r="6" spans="1:9" x14ac:dyDescent="0.2">
      <c r="A6" s="32">
        <v>2100</v>
      </c>
      <c r="B6" t="s">
        <v>796</v>
      </c>
      <c r="C6" s="271">
        <f t="shared" si="0"/>
        <v>1166732.0299999998</v>
      </c>
      <c r="D6" s="20">
        <f>'DOE25'!L203+'DOE25'!L221+'DOE25'!L239-F6-G6-H6</f>
        <v>1137567.5199999998</v>
      </c>
      <c r="E6" s="241"/>
      <c r="F6" s="242">
        <v>28172.21</v>
      </c>
      <c r="G6" s="53">
        <f>'DOE25'!J203+'DOE25'!J221+'DOE25'!J239</f>
        <v>389.80999999999995</v>
      </c>
      <c r="H6" s="53">
        <f>'DOE25'!K203+'DOE25'!K221+'DOE25'!K239</f>
        <v>602.49</v>
      </c>
      <c r="I6" s="252"/>
    </row>
    <row r="7" spans="1:9" x14ac:dyDescent="0.2">
      <c r="A7" s="32">
        <v>2200</v>
      </c>
      <c r="B7" t="s">
        <v>821</v>
      </c>
      <c r="C7" s="271">
        <f t="shared" si="0"/>
        <v>368140.82</v>
      </c>
      <c r="D7" s="20">
        <f>'DOE25'!L204+'DOE25'!L222+'DOE25'!L240-F7-G7-H7</f>
        <v>366952.78</v>
      </c>
      <c r="E7" s="241"/>
      <c r="F7" s="242"/>
      <c r="G7" s="53">
        <f>'DOE25'!J204+'DOE25'!J222+'DOE25'!J240</f>
        <v>838.04</v>
      </c>
      <c r="H7" s="53">
        <f>'DOE25'!K204+'DOE25'!K222+'DOE25'!K240</f>
        <v>350</v>
      </c>
      <c r="I7" s="252"/>
    </row>
    <row r="8" spans="1:9" x14ac:dyDescent="0.2">
      <c r="A8" s="32">
        <v>2300</v>
      </c>
      <c r="B8" t="s">
        <v>797</v>
      </c>
      <c r="C8" s="271">
        <f t="shared" si="0"/>
        <v>348416.76999999979</v>
      </c>
      <c r="D8" s="241"/>
      <c r="E8" s="20">
        <f>'DOE25'!L205+'DOE25'!L223+'DOE25'!L241-F8-G8-H8-D9-D11</f>
        <v>323933.68999999983</v>
      </c>
      <c r="F8" s="242">
        <v>16397.61</v>
      </c>
      <c r="G8" s="53">
        <f>'DOE25'!J205+'DOE25'!J223+'DOE25'!J241</f>
        <v>423.98</v>
      </c>
      <c r="H8" s="53">
        <f>'DOE25'!K205+'DOE25'!K223+'DOE25'!K241</f>
        <v>7661.49</v>
      </c>
      <c r="I8" s="252"/>
    </row>
    <row r="9" spans="1:9" ht="14.25" x14ac:dyDescent="0.2">
      <c r="A9" s="32">
        <v>2310</v>
      </c>
      <c r="B9" s="183" t="s">
        <v>888</v>
      </c>
      <c r="C9" s="271">
        <f t="shared" si="0"/>
        <v>96954.19</v>
      </c>
      <c r="D9" s="242">
        <v>96954.19</v>
      </c>
      <c r="E9" s="241"/>
      <c r="F9" s="249"/>
      <c r="G9" s="249"/>
      <c r="H9" s="249"/>
      <c r="I9" s="252"/>
    </row>
    <row r="10" spans="1:9" ht="14.25" x14ac:dyDescent="0.2">
      <c r="A10" s="32">
        <v>2317</v>
      </c>
      <c r="B10" s="183" t="s">
        <v>889</v>
      </c>
      <c r="C10" s="271">
        <f t="shared" si="0"/>
        <v>25075</v>
      </c>
      <c r="D10" s="241"/>
      <c r="E10" s="242">
        <v>25075</v>
      </c>
      <c r="F10" s="249"/>
      <c r="G10" s="249"/>
      <c r="H10" s="249"/>
      <c r="I10" s="252"/>
    </row>
    <row r="11" spans="1:9" ht="14.25" x14ac:dyDescent="0.2">
      <c r="A11" s="32">
        <v>2321</v>
      </c>
      <c r="B11" s="183" t="s">
        <v>890</v>
      </c>
      <c r="C11" s="271">
        <f t="shared" si="0"/>
        <v>598273.89</v>
      </c>
      <c r="D11" s="242">
        <v>598273.89</v>
      </c>
      <c r="E11" s="241"/>
      <c r="F11" s="249"/>
      <c r="G11" s="249"/>
      <c r="H11" s="249"/>
      <c r="I11" s="252"/>
    </row>
    <row r="12" spans="1:9" x14ac:dyDescent="0.2">
      <c r="A12" s="32">
        <v>2400</v>
      </c>
      <c r="B12" t="s">
        <v>711</v>
      </c>
      <c r="C12" s="271">
        <f t="shared" si="0"/>
        <v>915234.90000000014</v>
      </c>
      <c r="D12" s="20">
        <f>'DOE25'!L206+'DOE25'!L224+'DOE25'!L242-F12-G12-H12</f>
        <v>908247.03000000014</v>
      </c>
      <c r="E12" s="241"/>
      <c r="F12" s="242"/>
      <c r="G12" s="53">
        <f>'DOE25'!J206+'DOE25'!J224+'DOE25'!J242</f>
        <v>104.4</v>
      </c>
      <c r="H12" s="53">
        <f>'DOE25'!K206+'DOE25'!K224+'DOE25'!K242</f>
        <v>6883.47</v>
      </c>
      <c r="I12" s="252"/>
    </row>
    <row r="13" spans="1:9" x14ac:dyDescent="0.2">
      <c r="A13" s="32">
        <v>2500</v>
      </c>
      <c r="B13" t="s">
        <v>798</v>
      </c>
      <c r="C13" s="271">
        <f t="shared" si="0"/>
        <v>0</v>
      </c>
      <c r="D13" s="241"/>
      <c r="E13" s="20">
        <f>'DOE25'!L207+'DOE25'!L225+'DOE25'!L243-F13-G13-H13</f>
        <v>0</v>
      </c>
      <c r="F13" s="242"/>
      <c r="G13" s="53">
        <f>'DOE25'!J207+'DOE25'!J225+'DOE25'!J243</f>
        <v>0</v>
      </c>
      <c r="H13" s="53">
        <f>'DOE25'!K207+'DOE25'!K225+'DOE25'!K243</f>
        <v>0</v>
      </c>
      <c r="I13" s="252"/>
    </row>
    <row r="14" spans="1:9" x14ac:dyDescent="0.2">
      <c r="A14" s="32">
        <v>2600</v>
      </c>
      <c r="B14" t="s">
        <v>819</v>
      </c>
      <c r="C14" s="271">
        <f t="shared" si="0"/>
        <v>1835680.94</v>
      </c>
      <c r="D14" s="20">
        <f>'DOE25'!L208+'DOE25'!L226+'DOE25'!L244-F14-G14-H14</f>
        <v>1454557.06</v>
      </c>
      <c r="E14" s="241"/>
      <c r="F14" s="242">
        <v>370132.75</v>
      </c>
      <c r="G14" s="53">
        <f>'DOE25'!J208+'DOE25'!J226+'DOE25'!J244</f>
        <v>10991.13</v>
      </c>
      <c r="H14" s="53">
        <f>'DOE25'!K208+'DOE25'!K226+'DOE25'!K244</f>
        <v>0</v>
      </c>
      <c r="I14" s="252"/>
    </row>
    <row r="15" spans="1:9" x14ac:dyDescent="0.2">
      <c r="A15" s="32">
        <v>2700</v>
      </c>
      <c r="B15" t="s">
        <v>799</v>
      </c>
      <c r="C15" s="271">
        <f t="shared" si="0"/>
        <v>432903.89999999991</v>
      </c>
      <c r="D15" s="20">
        <f>'DOE25'!L209+'DOE25'!L227+'DOE25'!L245-F15-G15-H15</f>
        <v>398286.86999999994</v>
      </c>
      <c r="E15" s="241"/>
      <c r="F15" s="242">
        <v>29428.309999999998</v>
      </c>
      <c r="G15" s="53">
        <f>'DOE25'!J209+'DOE25'!J227+'DOE25'!J245</f>
        <v>3673.7199999999993</v>
      </c>
      <c r="H15" s="53">
        <f>'DOE25'!K209+'DOE25'!K227+'DOE25'!K245</f>
        <v>1515</v>
      </c>
      <c r="I15" s="252"/>
    </row>
    <row r="16" spans="1:9" x14ac:dyDescent="0.2">
      <c r="A16" s="32">
        <v>2800</v>
      </c>
      <c r="B16" t="s">
        <v>800</v>
      </c>
      <c r="C16" s="271">
        <f t="shared" si="0"/>
        <v>412724.98</v>
      </c>
      <c r="D16" s="241"/>
      <c r="E16" s="20">
        <f>'DOE25'!L210+'DOE25'!L228+'DOE25'!L246-F16-G16-H16</f>
        <v>321025.94</v>
      </c>
      <c r="F16" s="242"/>
      <c r="G16" s="53">
        <f>'DOE25'!J210+'DOE25'!J228+'DOE25'!J246</f>
        <v>91699.04</v>
      </c>
      <c r="H16" s="53">
        <f>'DOE25'!K210+'DOE25'!K228+'DOE25'!K246</f>
        <v>0</v>
      </c>
      <c r="I16" s="252"/>
    </row>
    <row r="17" spans="1:9" x14ac:dyDescent="0.2">
      <c r="A17" s="32">
        <v>1600</v>
      </c>
      <c r="B17" t="s">
        <v>801</v>
      </c>
      <c r="C17" s="271">
        <f t="shared" si="0"/>
        <v>0</v>
      </c>
      <c r="D17" s="20">
        <f>'DOE25'!L252-F17-G17-H17</f>
        <v>0</v>
      </c>
      <c r="E17" s="241"/>
      <c r="F17" s="242"/>
      <c r="G17" s="53">
        <f>'DOE25'!J252</f>
        <v>0</v>
      </c>
      <c r="H17" s="53">
        <f>'DOE25'!K252</f>
        <v>0</v>
      </c>
      <c r="I17" s="252"/>
    </row>
    <row r="18" spans="1:9" x14ac:dyDescent="0.2">
      <c r="A18" s="32">
        <v>1700</v>
      </c>
      <c r="B18" t="s">
        <v>802</v>
      </c>
      <c r="C18" s="271">
        <f t="shared" si="0"/>
        <v>0</v>
      </c>
      <c r="D18" s="20">
        <f>'DOE25'!L253-F18-G18-H18</f>
        <v>0</v>
      </c>
      <c r="E18" s="241"/>
      <c r="F18" s="242"/>
      <c r="G18" s="53">
        <f>'DOE25'!J253</f>
        <v>0</v>
      </c>
      <c r="H18" s="53">
        <f>'DOE25'!K253</f>
        <v>0</v>
      </c>
      <c r="I18" s="252"/>
    </row>
    <row r="19" spans="1:9" x14ac:dyDescent="0.2">
      <c r="A19" s="32">
        <v>1800</v>
      </c>
      <c r="B19" t="s">
        <v>803</v>
      </c>
      <c r="C19" s="271">
        <f t="shared" si="0"/>
        <v>0</v>
      </c>
      <c r="D19" s="20">
        <f>'DOE25'!L254-F19-G19-H19</f>
        <v>0</v>
      </c>
      <c r="E19" s="241"/>
      <c r="F19" s="242"/>
      <c r="G19" s="53">
        <f>'DOE25'!J254</f>
        <v>0</v>
      </c>
      <c r="H19" s="53">
        <f>'DOE25'!K254</f>
        <v>0</v>
      </c>
      <c r="I19" s="252"/>
    </row>
    <row r="20" spans="1:9" x14ac:dyDescent="0.2">
      <c r="C20" s="272"/>
      <c r="F20" s="266"/>
      <c r="G20" s="52"/>
      <c r="H20" s="52"/>
      <c r="I20" s="253"/>
    </row>
    <row r="21" spans="1:9" x14ac:dyDescent="0.2">
      <c r="B21" s="33" t="s">
        <v>791</v>
      </c>
      <c r="C21" s="272"/>
      <c r="F21" s="266"/>
      <c r="G21" s="52"/>
      <c r="H21" s="52"/>
      <c r="I21" s="253"/>
    </row>
    <row r="22" spans="1:9" x14ac:dyDescent="0.2">
      <c r="A22" s="32">
        <v>4000</v>
      </c>
      <c r="B22" t="s">
        <v>820</v>
      </c>
      <c r="C22" s="275">
        <f>SUM(D22:I22)</f>
        <v>0</v>
      </c>
      <c r="D22" s="241"/>
      <c r="E22" s="241"/>
      <c r="F22" s="241"/>
      <c r="G22" s="53">
        <f>'DOE25'!L256+'DOE25'!L337</f>
        <v>0</v>
      </c>
      <c r="H22" s="249"/>
      <c r="I22" s="252"/>
    </row>
    <row r="23" spans="1:9" x14ac:dyDescent="0.2">
      <c r="A23" s="32"/>
      <c r="C23" s="272"/>
      <c r="F23" s="266"/>
      <c r="G23" s="52"/>
      <c r="H23" s="52"/>
      <c r="I23" s="253"/>
    </row>
    <row r="24" spans="1:9" x14ac:dyDescent="0.2">
      <c r="A24" s="32"/>
      <c r="B24" s="33" t="s">
        <v>463</v>
      </c>
      <c r="C24" s="272"/>
      <c r="F24" s="266"/>
      <c r="G24" s="52"/>
      <c r="H24" s="52"/>
      <c r="I24" s="253"/>
    </row>
    <row r="25" spans="1:9" x14ac:dyDescent="0.2">
      <c r="A25" s="32" t="s">
        <v>804</v>
      </c>
      <c r="B25" t="s">
        <v>805</v>
      </c>
      <c r="C25" s="271">
        <f>SUM(D25:I25)</f>
        <v>0</v>
      </c>
      <c r="D25" s="241"/>
      <c r="E25" s="241"/>
      <c r="F25" s="251"/>
      <c r="G25" s="249"/>
      <c r="H25" s="249"/>
      <c r="I25" s="250">
        <f>'DOE25'!L261+'DOE25'!L262+'DOE25'!L342+'DOE25'!L343</f>
        <v>0</v>
      </c>
    </row>
    <row r="26" spans="1:9" x14ac:dyDescent="0.2">
      <c r="A26" s="32"/>
      <c r="C26" s="272"/>
      <c r="F26" s="266"/>
      <c r="G26" s="52"/>
      <c r="H26" s="52"/>
      <c r="I26" s="253"/>
    </row>
    <row r="27" spans="1:9" x14ac:dyDescent="0.2">
      <c r="A27" s="32"/>
      <c r="B27" s="33" t="s">
        <v>807</v>
      </c>
      <c r="C27" s="272"/>
      <c r="F27" s="266"/>
      <c r="G27" s="52"/>
      <c r="H27" s="52"/>
      <c r="I27" s="253"/>
    </row>
    <row r="28" spans="1:9" x14ac:dyDescent="0.2">
      <c r="A28" s="32">
        <v>3100</v>
      </c>
      <c r="B28" t="s">
        <v>816</v>
      </c>
      <c r="C28" s="272"/>
      <c r="F28" s="266"/>
      <c r="G28" s="52"/>
      <c r="H28" s="52"/>
      <c r="I28" s="253"/>
    </row>
    <row r="29" spans="1:9" x14ac:dyDescent="0.2">
      <c r="A29" s="32"/>
      <c r="B29" t="s">
        <v>808</v>
      </c>
      <c r="C29" s="271">
        <f>SUM(D29:I29)</f>
        <v>449129.22</v>
      </c>
      <c r="D29" s="279">
        <f>'DOE25'!L359+'DOE25'!L360+'DOE25'!L361-'DOE25'!I368-F29-G29-H29</f>
        <v>25000.219999999972</v>
      </c>
      <c r="E29" s="241"/>
      <c r="F29" s="242">
        <v>424129</v>
      </c>
      <c r="G29" s="53">
        <f>'DOE25'!J359+'DOE25'!J360+'DOE25'!J361</f>
        <v>0</v>
      </c>
      <c r="H29" s="53">
        <f>'DOE25'!K359+'DOE25'!K360+'DOE25'!K361</f>
        <v>0</v>
      </c>
      <c r="I29" s="252"/>
    </row>
    <row r="30" spans="1:9" x14ac:dyDescent="0.2">
      <c r="A30" s="32"/>
      <c r="C30" s="272"/>
      <c r="D30" s="20"/>
      <c r="E30" s="276"/>
      <c r="F30" s="266"/>
      <c r="G30" s="53"/>
      <c r="H30" s="53"/>
      <c r="I30" s="252"/>
    </row>
    <row r="31" spans="1:9" x14ac:dyDescent="0.2">
      <c r="A31" s="32" t="s">
        <v>818</v>
      </c>
      <c r="B31" t="s">
        <v>817</v>
      </c>
      <c r="C31" s="271">
        <f>SUM(D31:I31)</f>
        <v>1346202.0999999999</v>
      </c>
      <c r="D31" s="20">
        <f>'DOE25'!L291+'DOE25'!L310+'DOE25'!L329+'DOE25'!L334+'DOE25'!L335+'DOE25'!L336-F31-G31-H31</f>
        <v>933686.76999999979</v>
      </c>
      <c r="E31" s="241"/>
      <c r="F31" s="242">
        <v>149433.56</v>
      </c>
      <c r="G31" s="53">
        <f>'DOE25'!J291+'DOE25'!J310+'DOE25'!J329+'DOE25'!J334+'DOE25'!J335+'DOE25'!J336</f>
        <v>261501.77000000002</v>
      </c>
      <c r="H31" s="53">
        <f>'DOE25'!K291+'DOE25'!K310+'DOE25'!K329+'DOE25'!K334+'DOE25'!K335+'DOE25'!K336</f>
        <v>1580</v>
      </c>
      <c r="I31" s="252"/>
    </row>
    <row r="32" spans="1:9" ht="12" thickBot="1" x14ac:dyDescent="0.25">
      <c r="C32" s="272"/>
      <c r="G32" s="247"/>
      <c r="H32" s="247"/>
      <c r="I32" s="254"/>
    </row>
    <row r="33" spans="1:9" ht="12" thickTop="1" x14ac:dyDescent="0.2">
      <c r="B33" t="s">
        <v>809</v>
      </c>
      <c r="D33" s="243">
        <f t="shared" ref="D33:I33" si="1">SUM(D5:D31)</f>
        <v>14418614.939999998</v>
      </c>
      <c r="E33" s="243">
        <f t="shared" si="1"/>
        <v>670034.62999999989</v>
      </c>
      <c r="F33" s="243">
        <f t="shared" si="1"/>
        <v>1189364.1900000002</v>
      </c>
      <c r="G33" s="243">
        <f t="shared" si="1"/>
        <v>382857.76</v>
      </c>
      <c r="H33" s="243">
        <f t="shared" si="1"/>
        <v>30036.1</v>
      </c>
      <c r="I33" s="243">
        <f t="shared" si="1"/>
        <v>0</v>
      </c>
    </row>
    <row r="35" spans="1:9" ht="12" thickBot="1" x14ac:dyDescent="0.25">
      <c r="B35" s="247" t="s">
        <v>831</v>
      </c>
      <c r="D35" s="248">
        <f>E33</f>
        <v>670034.62999999989</v>
      </c>
      <c r="E35" s="244"/>
      <c r="F35" s="330" t="s">
        <v>1632</v>
      </c>
      <c r="G35" s="331"/>
      <c r="H35" s="331"/>
      <c r="I35" s="331"/>
    </row>
    <row r="36" spans="1:9" ht="12" thickTop="1" x14ac:dyDescent="0.2">
      <c r="B36" t="s">
        <v>810</v>
      </c>
      <c r="D36" s="20">
        <f>D33</f>
        <v>14418614.939999998</v>
      </c>
      <c r="F36" s="333" t="s">
        <v>1621</v>
      </c>
      <c r="G36" s="332" t="str">
        <f>IF(F36=0,"&lt;&lt;&lt;&lt;&lt; YOU HAVE NOT CHOSEN IF YOU WANT AN INDIRECT COST RATE!!","")</f>
        <v/>
      </c>
      <c r="H36" s="332"/>
    </row>
    <row r="38" spans="1:9" x14ac:dyDescent="0.2">
      <c r="B38" s="185" t="s">
        <v>899</v>
      </c>
      <c r="C38" s="257"/>
      <c r="D38" s="280"/>
    </row>
    <row r="39" spans="1:9" x14ac:dyDescent="0.2">
      <c r="B39" s="185" t="s">
        <v>815</v>
      </c>
      <c r="D39" s="281" t="str">
        <f>IF(E10&gt;0,"Y","N")</f>
        <v>Y</v>
      </c>
    </row>
    <row r="41" spans="1:9" ht="12" x14ac:dyDescent="0.2">
      <c r="A41" s="277"/>
      <c r="B41" s="278" t="s">
        <v>767</v>
      </c>
      <c r="C41" s="277"/>
      <c r="D41" s="277"/>
      <c r="E41" s="277"/>
      <c r="F41" s="277"/>
      <c r="G41" s="277"/>
      <c r="H41" s="277"/>
      <c r="I41" s="277"/>
    </row>
    <row r="42" spans="1:9" ht="12" x14ac:dyDescent="0.2">
      <c r="A42" s="277"/>
      <c r="B42" s="277" t="s">
        <v>894</v>
      </c>
      <c r="C42" s="277"/>
      <c r="D42" s="277"/>
      <c r="E42" s="277"/>
      <c r="F42" s="277"/>
      <c r="G42" s="277"/>
      <c r="H42" s="277"/>
      <c r="I42" s="277"/>
    </row>
    <row r="43" spans="1:9" ht="12" x14ac:dyDescent="0.2">
      <c r="A43" s="277"/>
      <c r="B43" s="277" t="s">
        <v>813</v>
      </c>
      <c r="C43" s="277"/>
      <c r="D43" s="277"/>
      <c r="E43" s="277"/>
      <c r="F43" s="277"/>
      <c r="G43" s="277"/>
      <c r="H43" s="277"/>
      <c r="I43" s="277"/>
    </row>
    <row r="44" spans="1:9" ht="12" x14ac:dyDescent="0.2">
      <c r="A44" s="277"/>
      <c r="B44" s="277"/>
      <c r="C44" s="277"/>
      <c r="D44" s="277"/>
      <c r="E44" s="277"/>
      <c r="F44" s="277"/>
      <c r="G44" s="277"/>
      <c r="H44" s="277"/>
      <c r="I44" s="277"/>
    </row>
    <row r="45" spans="1:9" ht="12" x14ac:dyDescent="0.2">
      <c r="A45" s="277"/>
      <c r="B45" s="277" t="s">
        <v>895</v>
      </c>
      <c r="C45" s="277"/>
      <c r="D45" s="277"/>
      <c r="E45" s="277"/>
      <c r="F45" s="277"/>
      <c r="G45" s="277"/>
      <c r="H45" s="277"/>
      <c r="I45" s="277"/>
    </row>
    <row r="46" spans="1:9" ht="12" x14ac:dyDescent="0.2">
      <c r="A46" s="277"/>
      <c r="B46" s="277"/>
      <c r="C46" s="277"/>
      <c r="D46" s="277"/>
      <c r="E46" s="277"/>
      <c r="F46" s="277"/>
      <c r="G46" s="277"/>
      <c r="H46" s="277"/>
      <c r="I46" s="277"/>
    </row>
    <row r="47" spans="1:9" ht="12" x14ac:dyDescent="0.2">
      <c r="A47" s="277"/>
      <c r="B47" s="277" t="s">
        <v>898</v>
      </c>
      <c r="C47" s="277"/>
      <c r="D47" s="277"/>
      <c r="E47" s="277"/>
      <c r="F47" s="277"/>
      <c r="G47" s="277"/>
      <c r="H47" s="277"/>
      <c r="I47" s="277"/>
    </row>
    <row r="48" spans="1:9" ht="12" x14ac:dyDescent="0.2">
      <c r="A48" s="277"/>
      <c r="B48" s="277" t="s">
        <v>897</v>
      </c>
      <c r="C48" s="277"/>
      <c r="D48" s="277"/>
      <c r="E48" s="277"/>
      <c r="F48" s="277"/>
      <c r="G48" s="277"/>
      <c r="H48" s="277"/>
      <c r="I48" s="277"/>
    </row>
    <row r="49" spans="1:9" ht="12" x14ac:dyDescent="0.2">
      <c r="A49" s="277"/>
      <c r="B49" s="277" t="s">
        <v>896</v>
      </c>
      <c r="C49" s="277"/>
      <c r="D49" s="277"/>
      <c r="E49" s="277"/>
      <c r="F49" s="277"/>
      <c r="G49" s="277"/>
      <c r="H49" s="277"/>
      <c r="I49" s="277"/>
    </row>
    <row r="50" spans="1:9" ht="12" x14ac:dyDescent="0.2">
      <c r="A50" s="277"/>
      <c r="B50" s="277" t="s">
        <v>893</v>
      </c>
      <c r="C50" s="277"/>
      <c r="D50" s="277"/>
      <c r="E50" s="277"/>
      <c r="F50" s="277"/>
      <c r="G50" s="277"/>
      <c r="H50" s="277"/>
      <c r="I50" s="277"/>
    </row>
    <row r="51" spans="1:9" ht="12" x14ac:dyDescent="0.2">
      <c r="A51" s="277"/>
      <c r="B51" s="277" t="s">
        <v>814</v>
      </c>
      <c r="C51" s="277"/>
      <c r="D51" s="277"/>
      <c r="E51" s="277"/>
      <c r="F51" s="277"/>
      <c r="G51" s="277"/>
      <c r="H51" s="277"/>
      <c r="I51" s="277"/>
    </row>
    <row r="52" spans="1:9" ht="12" x14ac:dyDescent="0.2">
      <c r="A52" s="277"/>
      <c r="B52" s="277"/>
      <c r="C52" s="277"/>
      <c r="D52" s="277"/>
      <c r="E52" s="277"/>
      <c r="F52" s="277"/>
      <c r="G52" s="277"/>
      <c r="H52" s="277"/>
      <c r="I52" s="277"/>
    </row>
    <row r="53" spans="1:9" ht="49.5" customHeight="1" x14ac:dyDescent="0.2">
      <c r="A53" s="277"/>
      <c r="B53" s="368" t="s">
        <v>900</v>
      </c>
      <c r="C53" s="368"/>
      <c r="D53" s="368"/>
      <c r="E53" s="368"/>
      <c r="F53" s="368"/>
      <c r="G53" s="368"/>
      <c r="H53" s="368"/>
      <c r="I53" s="277"/>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904</v>
      </c>
      <c r="B1" s="125" t="s">
        <v>905</v>
      </c>
      <c r="C1" s="125"/>
      <c r="D1" s="312" t="s">
        <v>1574</v>
      </c>
      <c r="E1" s="125"/>
      <c r="F1" s="125"/>
      <c r="G1" s="125"/>
      <c r="H1" s="125"/>
    </row>
    <row r="2" spans="1:18" ht="12" thickBot="1" x14ac:dyDescent="0.25">
      <c r="A2" s="290" t="str">
        <f>'DOE25'!A2</f>
        <v>Farmington</v>
      </c>
      <c r="B2" s="125">
        <f>'DOE25'!B2</f>
        <v>175</v>
      </c>
      <c r="C2" s="125"/>
      <c r="D2" s="125"/>
      <c r="E2" s="125"/>
      <c r="F2" s="125"/>
      <c r="G2" s="125"/>
      <c r="H2" s="125"/>
    </row>
    <row r="3" spans="1:18" ht="36.75" customHeight="1" thickBot="1" x14ac:dyDescent="0.3">
      <c r="A3" s="291" t="s">
        <v>1547</v>
      </c>
      <c r="B3" s="292"/>
      <c r="C3" s="292"/>
      <c r="D3" s="293" t="s">
        <v>1548</v>
      </c>
      <c r="E3" s="293" t="s">
        <v>1549</v>
      </c>
      <c r="F3" s="294" t="s">
        <v>1556</v>
      </c>
      <c r="G3" s="295" t="s">
        <v>1557</v>
      </c>
      <c r="H3" s="296" t="s">
        <v>1537</v>
      </c>
      <c r="I3" s="125"/>
      <c r="N3" s="284"/>
      <c r="O3" s="284"/>
      <c r="P3" s="284"/>
      <c r="Q3" s="284"/>
      <c r="R3" s="285"/>
    </row>
    <row r="4" spans="1:18" ht="11.25" customHeight="1" thickBot="1" x14ac:dyDescent="0.25">
      <c r="A4" s="293" t="s">
        <v>1535</v>
      </c>
      <c r="B4" s="293" t="s">
        <v>1536</v>
      </c>
      <c r="C4" s="293" t="s">
        <v>904</v>
      </c>
      <c r="D4" s="293" t="s">
        <v>786</v>
      </c>
      <c r="E4" s="293" t="s">
        <v>786</v>
      </c>
      <c r="F4" s="297">
        <f>SUM(F5:F20)</f>
        <v>10967566.499714285</v>
      </c>
      <c r="G4" s="298">
        <f>'DOE25'!L212+'DOE25'!L291</f>
        <v>10967566.499714285</v>
      </c>
      <c r="H4" s="348">
        <f>F4-G4</f>
        <v>0</v>
      </c>
      <c r="I4" s="369" t="str">
        <f>IF(H4=0,"","ISSUES!! Please review page 7 and 11 totals in comparison with total on this page")</f>
        <v/>
      </c>
      <c r="N4"/>
    </row>
    <row r="5" spans="1:18" x14ac:dyDescent="0.2">
      <c r="A5" s="21" t="s">
        <v>1050</v>
      </c>
      <c r="B5" s="299">
        <f>IFERROR(VLOOKUP(A5,'School Tables'!$C$3:$D$365,2,FALSE),"")</f>
        <v>22055</v>
      </c>
      <c r="C5" s="292" t="str">
        <f>IFERROR(INDEX('School Tables'!$B$3:$B$365,MATCH('School Level Expenditures'!B5,'School Tables'!$D$3:$D$365,0)),"")</f>
        <v>Farmington</v>
      </c>
      <c r="D5" s="289">
        <v>5559684.6834165407</v>
      </c>
      <c r="E5" s="289">
        <v>618642.00262288575</v>
      </c>
      <c r="F5" s="302">
        <f>D5+E5</f>
        <v>6178326.6860394264</v>
      </c>
      <c r="G5" s="292"/>
      <c r="H5" s="292"/>
      <c r="I5" s="370"/>
      <c r="N5"/>
    </row>
    <row r="6" spans="1:18" x14ac:dyDescent="0.2">
      <c r="A6" s="21" t="s">
        <v>1048</v>
      </c>
      <c r="B6" s="299">
        <f>IFERROR(VLOOKUP(A6,'School Tables'!$C$3:$D$365,2,FALSE),"")</f>
        <v>27980</v>
      </c>
      <c r="C6" s="292" t="str">
        <f>IFERROR(INDEX('School Tables'!$B$3:$B$365,MATCH('School Level Expenditures'!B6,'School Tables'!$D$3:$D$365,0)),"")</f>
        <v>Farmington</v>
      </c>
      <c r="D6" s="289">
        <v>4309688.4626483936</v>
      </c>
      <c r="E6" s="289">
        <v>479551.35102646501</v>
      </c>
      <c r="F6" s="302">
        <f t="shared" ref="F6:F20" si="0">D6+E6</f>
        <v>4789239.8136748588</v>
      </c>
      <c r="G6" s="292"/>
      <c r="H6" s="292"/>
      <c r="I6" s="370"/>
      <c r="N6"/>
    </row>
    <row r="7" spans="1:18" x14ac:dyDescent="0.2">
      <c r="A7" s="21"/>
      <c r="B7" s="299" t="str">
        <f>IFERROR(VLOOKUP(A7,'School Tables'!$C$3:$D$365,2,FALSE),"")</f>
        <v/>
      </c>
      <c r="C7" s="292" t="str">
        <f>IFERROR(INDEX('School Tables'!$B$3:$B$365,MATCH('School Level Expenditures'!B7,'School Tables'!$D$3:$D$365,0)),"")</f>
        <v/>
      </c>
      <c r="D7" s="289"/>
      <c r="E7" s="289"/>
      <c r="F7" s="302">
        <f t="shared" si="0"/>
        <v>0</v>
      </c>
      <c r="G7" s="292"/>
      <c r="H7" s="292"/>
      <c r="I7" s="349"/>
      <c r="N7"/>
    </row>
    <row r="8" spans="1:18" x14ac:dyDescent="0.2">
      <c r="A8" s="21"/>
      <c r="B8" s="299" t="str">
        <f>IFERROR(VLOOKUP(A8,'School Tables'!$C$3:$D$365,2,FALSE),"")</f>
        <v/>
      </c>
      <c r="C8" s="292" t="str">
        <f>IFERROR(INDEX('School Tables'!$B$3:$B$365,MATCH('School Level Expenditures'!B8,'School Tables'!$D$3:$D$365,0)),"")</f>
        <v/>
      </c>
      <c r="D8" s="289"/>
      <c r="E8" s="289"/>
      <c r="F8" s="302">
        <f t="shared" si="0"/>
        <v>0</v>
      </c>
      <c r="G8" s="292"/>
      <c r="H8" s="292"/>
      <c r="I8" s="349"/>
      <c r="N8"/>
    </row>
    <row r="9" spans="1:18" x14ac:dyDescent="0.2">
      <c r="A9" s="21"/>
      <c r="B9" s="299" t="str">
        <f>IFERROR(VLOOKUP(A9,'School Tables'!$C$3:$D$365,2,FALSE),"")</f>
        <v/>
      </c>
      <c r="C9" s="292" t="str">
        <f>IFERROR(INDEX('School Tables'!$B$3:$B$365,MATCH('School Level Expenditures'!B9,'School Tables'!$D$3:$D$365,0)),"")</f>
        <v/>
      </c>
      <c r="D9" s="289"/>
      <c r="E9" s="289"/>
      <c r="F9" s="302">
        <f t="shared" si="0"/>
        <v>0</v>
      </c>
      <c r="G9" s="292"/>
      <c r="H9" s="292"/>
      <c r="I9" s="349"/>
      <c r="N9"/>
    </row>
    <row r="10" spans="1:18" x14ac:dyDescent="0.2">
      <c r="A10" s="21"/>
      <c r="B10" s="299" t="str">
        <f>IFERROR(VLOOKUP(A10,'School Tables'!$C$3:$D$365,2,FALSE),"")</f>
        <v/>
      </c>
      <c r="C10" s="292" t="str">
        <f>IFERROR(INDEX('School Tables'!$B$3:$B$365,MATCH('School Level Expenditures'!B10,'School Tables'!$D$3:$D$365,0)),"")</f>
        <v/>
      </c>
      <c r="D10" s="289"/>
      <c r="E10" s="289"/>
      <c r="F10" s="302">
        <f t="shared" si="0"/>
        <v>0</v>
      </c>
      <c r="G10" s="292"/>
      <c r="H10" s="292"/>
      <c r="I10" s="125"/>
      <c r="N10"/>
    </row>
    <row r="11" spans="1:18" x14ac:dyDescent="0.2">
      <c r="A11" s="21"/>
      <c r="B11" s="299" t="str">
        <f>IFERROR(VLOOKUP(A11,'School Tables'!$C$3:$D$365,2,FALSE),"")</f>
        <v/>
      </c>
      <c r="C11" s="292" t="str">
        <f>IFERROR(INDEX('School Tables'!$B$3:$B$365,MATCH('School Level Expenditures'!B11,'School Tables'!$D$3:$D$365,0)),"")</f>
        <v/>
      </c>
      <c r="D11" s="289"/>
      <c r="E11" s="289"/>
      <c r="F11" s="302">
        <f t="shared" si="0"/>
        <v>0</v>
      </c>
      <c r="G11" s="292"/>
      <c r="H11" s="292"/>
      <c r="I11" s="125"/>
      <c r="N11"/>
    </row>
    <row r="12" spans="1:18" x14ac:dyDescent="0.2">
      <c r="A12" s="21"/>
      <c r="B12" s="299" t="str">
        <f>IFERROR(VLOOKUP(A12,'School Tables'!$C$3:$D$365,2,FALSE),"")</f>
        <v/>
      </c>
      <c r="C12" s="292" t="str">
        <f>IFERROR(INDEX('School Tables'!$B$3:$B$365,MATCH('School Level Expenditures'!B12,'School Tables'!$D$3:$D$365,0)),"")</f>
        <v/>
      </c>
      <c r="D12" s="289"/>
      <c r="E12" s="289"/>
      <c r="F12" s="302">
        <f t="shared" si="0"/>
        <v>0</v>
      </c>
      <c r="G12" s="292"/>
      <c r="H12" s="292"/>
      <c r="I12" s="125"/>
      <c r="N12"/>
    </row>
    <row r="13" spans="1:18" x14ac:dyDescent="0.2">
      <c r="A13" s="21"/>
      <c r="B13" s="299" t="str">
        <f>IFERROR(VLOOKUP(A13,'School Tables'!$C$3:$D$365,2,FALSE),"")</f>
        <v/>
      </c>
      <c r="C13" s="292" t="str">
        <f>IFERROR(INDEX('School Tables'!$B$3:$B$365,MATCH('School Level Expenditures'!B13,'School Tables'!$D$3:$D$365,0)),"")</f>
        <v/>
      </c>
      <c r="D13" s="289"/>
      <c r="E13" s="289"/>
      <c r="F13" s="302">
        <f t="shared" si="0"/>
        <v>0</v>
      </c>
      <c r="G13" s="292"/>
      <c r="H13" s="292"/>
      <c r="I13" s="125"/>
      <c r="N13"/>
    </row>
    <row r="14" spans="1:18" x14ac:dyDescent="0.2">
      <c r="A14" s="21"/>
      <c r="B14" s="299" t="str">
        <f>IFERROR(VLOOKUP(A14,'School Tables'!$C$3:$D$365,2,FALSE),"")</f>
        <v/>
      </c>
      <c r="C14" s="292" t="str">
        <f>IFERROR(INDEX('School Tables'!$B$3:$B$365,MATCH('School Level Expenditures'!B14,'School Tables'!$D$3:$D$365,0)),"")</f>
        <v/>
      </c>
      <c r="D14" s="289"/>
      <c r="E14" s="289"/>
      <c r="F14" s="302">
        <f t="shared" si="0"/>
        <v>0</v>
      </c>
      <c r="G14" s="292"/>
      <c r="H14" s="292"/>
      <c r="I14" s="125"/>
      <c r="N14"/>
    </row>
    <row r="15" spans="1:18" x14ac:dyDescent="0.2">
      <c r="A15" s="21"/>
      <c r="B15" s="299" t="str">
        <f>IFERROR(VLOOKUP(A15,'School Tables'!$C$3:$D$365,2,FALSE),"")</f>
        <v/>
      </c>
      <c r="C15" s="292" t="str">
        <f>IFERROR(INDEX('School Tables'!$B$3:$B$365,MATCH('School Level Expenditures'!B15,'School Tables'!$D$3:$D$365,0)),"")</f>
        <v/>
      </c>
      <c r="D15" s="289"/>
      <c r="E15" s="289"/>
      <c r="F15" s="302">
        <f t="shared" si="0"/>
        <v>0</v>
      </c>
      <c r="G15" s="292"/>
      <c r="H15" s="292"/>
      <c r="I15" s="125"/>
      <c r="N15"/>
    </row>
    <row r="16" spans="1:18" x14ac:dyDescent="0.2">
      <c r="A16" s="21"/>
      <c r="B16" s="299" t="str">
        <f>IFERROR(VLOOKUP(A16,'School Tables'!$C$3:$D$365,2,FALSE),"")</f>
        <v/>
      </c>
      <c r="C16" s="292" t="str">
        <f>IFERROR(INDEX('School Tables'!$B$3:$B$365,MATCH('School Level Expenditures'!B16,'School Tables'!$D$3:$D$365,0)),"")</f>
        <v/>
      </c>
      <c r="D16" s="289"/>
      <c r="E16" s="289"/>
      <c r="F16" s="302">
        <f t="shared" si="0"/>
        <v>0</v>
      </c>
      <c r="G16" s="292"/>
      <c r="H16" s="292"/>
      <c r="I16" s="125"/>
      <c r="N16"/>
    </row>
    <row r="17" spans="1:14" x14ac:dyDescent="0.2">
      <c r="A17" s="21"/>
      <c r="B17" s="299" t="str">
        <f>IFERROR(VLOOKUP(A17,'School Tables'!$C$3:$D$365,2,FALSE),"")</f>
        <v/>
      </c>
      <c r="C17" s="292" t="str">
        <f>IFERROR(INDEX('School Tables'!$B$3:$B$365,MATCH('School Level Expenditures'!B17,'School Tables'!$D$3:$D$365,0)),"")</f>
        <v/>
      </c>
      <c r="D17" s="289"/>
      <c r="E17" s="289"/>
      <c r="F17" s="302">
        <f t="shared" si="0"/>
        <v>0</v>
      </c>
      <c r="G17" s="292"/>
      <c r="H17" s="292"/>
      <c r="I17" s="125"/>
      <c r="N17"/>
    </row>
    <row r="18" spans="1:14" x14ac:dyDescent="0.2">
      <c r="A18" s="21"/>
      <c r="B18" s="299" t="str">
        <f>IFERROR(VLOOKUP(A18,'School Tables'!$C$3:$D$365,2,FALSE),"")</f>
        <v/>
      </c>
      <c r="C18" s="292" t="str">
        <f>IFERROR(INDEX('School Tables'!$B$3:$B$365,MATCH('School Level Expenditures'!B18,'School Tables'!$D$3:$D$365,0)),"")</f>
        <v/>
      </c>
      <c r="D18" s="289"/>
      <c r="E18" s="289"/>
      <c r="F18" s="302">
        <f t="shared" si="0"/>
        <v>0</v>
      </c>
      <c r="G18" s="292"/>
      <c r="H18" s="292"/>
      <c r="I18" s="125"/>
      <c r="N18"/>
    </row>
    <row r="19" spans="1:14" x14ac:dyDescent="0.2">
      <c r="A19" s="21"/>
      <c r="B19" s="299" t="str">
        <f>IFERROR(VLOOKUP(A19,'School Tables'!$C$3:$D$365,2,FALSE),"")</f>
        <v/>
      </c>
      <c r="C19" s="292" t="str">
        <f>IFERROR(INDEX('School Tables'!$B$3:$B$365,MATCH('School Level Expenditures'!B19,'School Tables'!$D$3:$D$365,0)),"")</f>
        <v/>
      </c>
      <c r="D19" s="289"/>
      <c r="E19" s="289"/>
      <c r="F19" s="302">
        <f t="shared" si="0"/>
        <v>0</v>
      </c>
      <c r="G19" s="292"/>
      <c r="H19" s="292"/>
      <c r="I19" s="125"/>
      <c r="N19"/>
    </row>
    <row r="20" spans="1:14" x14ac:dyDescent="0.2">
      <c r="A20" s="21"/>
      <c r="B20" s="299" t="str">
        <f>IFERROR(VLOOKUP(A20,'School Tables'!$C$3:$D$365,2,FALSE),"")</f>
        <v/>
      </c>
      <c r="C20" s="292" t="str">
        <f>IFERROR(INDEX('School Tables'!$B$3:$B$365,MATCH('School Level Expenditures'!B20,'School Tables'!$D$3:$D$365,0)),"")</f>
        <v/>
      </c>
      <c r="D20" s="289"/>
      <c r="E20" s="289"/>
      <c r="F20" s="302">
        <f t="shared" si="0"/>
        <v>0</v>
      </c>
      <c r="G20" s="292"/>
      <c r="H20" s="292"/>
      <c r="I20" s="125"/>
      <c r="N20"/>
    </row>
    <row r="21" spans="1:14" ht="12" thickBot="1" x14ac:dyDescent="0.25">
      <c r="A21" s="21"/>
      <c r="B21" s="300"/>
      <c r="C21" s="301"/>
      <c r="D21" s="346">
        <f>SUM(D5:D20)</f>
        <v>9869373.1460649334</v>
      </c>
      <c r="E21" s="346">
        <f>SUM(E5:E20)</f>
        <v>1098193.3536493508</v>
      </c>
      <c r="F21" s="301"/>
      <c r="G21" s="301"/>
      <c r="H21" s="301"/>
      <c r="I21" s="125"/>
      <c r="N21"/>
    </row>
    <row r="22" spans="1:14" ht="12.75" thickTop="1" thickBot="1" x14ac:dyDescent="0.25">
      <c r="A22" s="21"/>
      <c r="B22" s="300"/>
      <c r="C22" s="301"/>
      <c r="D22" s="289"/>
      <c r="E22" s="289"/>
      <c r="F22" s="301"/>
      <c r="G22" s="301"/>
      <c r="H22" s="301"/>
      <c r="I22" s="125"/>
      <c r="N22"/>
    </row>
    <row r="23" spans="1:14" ht="34.5" x14ac:dyDescent="0.25">
      <c r="A23" s="287" t="s">
        <v>1550</v>
      </c>
      <c r="B23" s="292"/>
      <c r="C23" s="292"/>
      <c r="D23" s="293" t="s">
        <v>1548</v>
      </c>
      <c r="E23" s="293" t="s">
        <v>1549</v>
      </c>
      <c r="F23" s="294" t="s">
        <v>1556</v>
      </c>
      <c r="G23" s="295" t="s">
        <v>1558</v>
      </c>
      <c r="H23" s="296" t="s">
        <v>1537</v>
      </c>
      <c r="I23" s="125"/>
      <c r="N23"/>
    </row>
    <row r="24" spans="1:14" ht="12" thickBot="1" x14ac:dyDescent="0.25">
      <c r="A24" s="288" t="s">
        <v>1551</v>
      </c>
      <c r="B24" s="293" t="s">
        <v>1552</v>
      </c>
      <c r="C24" s="293" t="s">
        <v>904</v>
      </c>
      <c r="D24" s="293" t="s">
        <v>786</v>
      </c>
      <c r="E24" s="293" t="s">
        <v>786</v>
      </c>
      <c r="F24" s="303">
        <f>SUM(F25:F32)</f>
        <v>0</v>
      </c>
      <c r="G24" s="298">
        <f>'DOE25'!L230+'DOE25'!L310</f>
        <v>0</v>
      </c>
      <c r="H24" s="348">
        <f>F24-G24</f>
        <v>0</v>
      </c>
      <c r="I24" s="369" t="str">
        <f>IF(H24=0,"","ISSUES!! Please review page 8 and 12 totals in comparison with total on this page")</f>
        <v/>
      </c>
      <c r="N24"/>
    </row>
    <row r="25" spans="1:14" x14ac:dyDescent="0.2">
      <c r="A25" s="21"/>
      <c r="B25" s="299" t="str">
        <f>IFERROR(VLOOKUP(A25,'School Tables'!$I$3:$J$80,2,FALSE),"")</f>
        <v/>
      </c>
      <c r="C25" s="292" t="str">
        <f t="array" ref="C25">IFERROR(INDEX('School Tables'!$H$3:$H$80,MATCH('School Level Expenditures'!B25,'School Tables'!$J$3:$J$80,0)),"")</f>
        <v/>
      </c>
      <c r="D25" s="289"/>
      <c r="E25" s="289"/>
      <c r="F25" s="302">
        <f>D25+E25</f>
        <v>0</v>
      </c>
      <c r="G25" s="292"/>
      <c r="H25" s="292"/>
      <c r="I25" s="370"/>
      <c r="N25"/>
    </row>
    <row r="26" spans="1:14" x14ac:dyDescent="0.2">
      <c r="A26" s="21"/>
      <c r="B26" s="299" t="str">
        <f>IFERROR(VLOOKUP(A26,'School Tables'!$I$3:$J$80,2,FALSE),"")</f>
        <v/>
      </c>
      <c r="C26" s="292" t="str">
        <f t="array" ref="C26">IFERROR(INDEX('School Tables'!$H$3:$H$80,MATCH('School Level Expenditures'!B26,'School Tables'!$J$3:$J$80,0)),"")</f>
        <v/>
      </c>
      <c r="D26" s="289"/>
      <c r="E26" s="289"/>
      <c r="F26" s="302">
        <f t="shared" ref="F26:F32" si="1">D26+E26</f>
        <v>0</v>
      </c>
      <c r="G26" s="292"/>
      <c r="H26" s="292"/>
      <c r="I26" s="370"/>
      <c r="N26"/>
    </row>
    <row r="27" spans="1:14" x14ac:dyDescent="0.2">
      <c r="A27" s="21"/>
      <c r="B27" s="299" t="str">
        <f>IFERROR(VLOOKUP(A27,'School Tables'!$I$3:$J$80,2,FALSE),"")</f>
        <v/>
      </c>
      <c r="C27" s="292" t="str">
        <f t="array" ref="C27">IFERROR(INDEX('School Tables'!$H$3:$H$80,MATCH('School Level Expenditures'!B27,'School Tables'!$J$3:$J$80,0)),"")</f>
        <v/>
      </c>
      <c r="D27" s="289"/>
      <c r="E27" s="289"/>
      <c r="F27" s="302">
        <f t="shared" si="1"/>
        <v>0</v>
      </c>
      <c r="G27" s="292"/>
      <c r="H27" s="292"/>
      <c r="I27" s="125"/>
      <c r="N27"/>
    </row>
    <row r="28" spans="1:14" x14ac:dyDescent="0.2">
      <c r="A28" s="21"/>
      <c r="B28" s="299" t="str">
        <f>IFERROR(VLOOKUP(A28,'School Tables'!$I$3:$J$80,2,FALSE),"")</f>
        <v/>
      </c>
      <c r="C28" s="292" t="str">
        <f t="array" ref="C28">IFERROR(INDEX('School Tables'!$H$3:$H$80,MATCH('School Level Expenditures'!B28,'School Tables'!$J$3:$J$80,0)),"")</f>
        <v/>
      </c>
      <c r="D28" s="289"/>
      <c r="E28" s="289"/>
      <c r="F28" s="302">
        <f t="shared" si="1"/>
        <v>0</v>
      </c>
      <c r="G28" s="292"/>
      <c r="H28" s="292"/>
      <c r="I28" s="125"/>
      <c r="N28"/>
    </row>
    <row r="29" spans="1:14" x14ac:dyDescent="0.2">
      <c r="A29" s="21"/>
      <c r="B29" s="299" t="str">
        <f>IFERROR(VLOOKUP(A29,'School Tables'!$I$3:$J$80,2,FALSE),"")</f>
        <v/>
      </c>
      <c r="C29" s="292" t="str">
        <f t="array" ref="C29">IFERROR(INDEX('School Tables'!$H$3:$H$80,MATCH('School Level Expenditures'!B29,'School Tables'!$J$3:$J$80,0)),"")</f>
        <v/>
      </c>
      <c r="D29" s="289"/>
      <c r="E29" s="289"/>
      <c r="F29" s="302">
        <f t="shared" si="1"/>
        <v>0</v>
      </c>
      <c r="G29" s="292"/>
      <c r="H29" s="292"/>
      <c r="I29" s="125"/>
      <c r="N29"/>
    </row>
    <row r="30" spans="1:14" x14ac:dyDescent="0.2">
      <c r="A30" s="21"/>
      <c r="B30" s="299" t="str">
        <f>IFERROR(VLOOKUP(A30,'School Tables'!$I$3:$J$80,2,FALSE),"")</f>
        <v/>
      </c>
      <c r="C30" s="292" t="str">
        <f t="array" ref="C30">IFERROR(INDEX('School Tables'!$H$3:$H$80,MATCH('School Level Expenditures'!B30,'School Tables'!$J$3:$J$80,0)),"")</f>
        <v/>
      </c>
      <c r="D30" s="289"/>
      <c r="E30" s="289"/>
      <c r="F30" s="302">
        <f t="shared" si="1"/>
        <v>0</v>
      </c>
      <c r="G30" s="292"/>
      <c r="H30" s="292"/>
      <c r="I30" s="125"/>
      <c r="N30"/>
    </row>
    <row r="31" spans="1:14" x14ac:dyDescent="0.2">
      <c r="A31" s="21"/>
      <c r="B31" s="299" t="str">
        <f>IFERROR(VLOOKUP(A31,'School Tables'!$I$3:$J$80,2,FALSE),"")</f>
        <v/>
      </c>
      <c r="C31" s="292" t="str">
        <f t="array" ref="C31">IFERROR(INDEX('School Tables'!$H$3:$H$80,MATCH('School Level Expenditures'!B31,'School Tables'!$J$3:$J$80,0)),"")</f>
        <v/>
      </c>
      <c r="D31" s="289"/>
      <c r="E31" s="289"/>
      <c r="F31" s="302">
        <f t="shared" si="1"/>
        <v>0</v>
      </c>
      <c r="G31" s="292"/>
      <c r="H31" s="292"/>
      <c r="I31" s="125"/>
      <c r="N31"/>
    </row>
    <row r="32" spans="1:14" x14ac:dyDescent="0.2">
      <c r="A32" s="21"/>
      <c r="B32" s="299" t="str">
        <f>IFERROR(VLOOKUP(A32,'School Tables'!$I$3:$J$80,2,FALSE),"")</f>
        <v/>
      </c>
      <c r="C32" s="292" t="str">
        <f t="array" ref="C32">IFERROR(INDEX('School Tables'!$H$3:$H$80,MATCH('School Level Expenditures'!B32,'School Tables'!$J$3:$J$80,0)),"")</f>
        <v/>
      </c>
      <c r="D32" s="289"/>
      <c r="E32" s="289"/>
      <c r="F32" s="302">
        <f t="shared" si="1"/>
        <v>0</v>
      </c>
      <c r="G32" s="292"/>
      <c r="H32" s="292"/>
      <c r="I32" s="125"/>
      <c r="N32"/>
    </row>
    <row r="33" spans="1:14" ht="12" thickBot="1" x14ac:dyDescent="0.25">
      <c r="A33" s="21"/>
      <c r="B33" s="300"/>
      <c r="C33" s="301"/>
      <c r="D33" s="346">
        <f>SUM(D25:D32)</f>
        <v>0</v>
      </c>
      <c r="E33" s="346">
        <f>SUM(E25:E32)</f>
        <v>0</v>
      </c>
      <c r="F33" s="301"/>
      <c r="G33" s="301"/>
      <c r="H33" s="301"/>
      <c r="I33" s="125"/>
      <c r="N33"/>
    </row>
    <row r="34" spans="1:14" ht="12.75" thickTop="1" thickBot="1" x14ac:dyDescent="0.25">
      <c r="A34" s="21"/>
      <c r="B34" s="300"/>
      <c r="C34" s="301"/>
      <c r="D34" s="289"/>
      <c r="E34" s="289"/>
      <c r="F34" s="301"/>
      <c r="G34" s="301"/>
      <c r="H34" s="301"/>
      <c r="I34" s="125"/>
      <c r="N34"/>
    </row>
    <row r="35" spans="1:14" ht="34.5" x14ac:dyDescent="0.25">
      <c r="A35" s="287" t="s">
        <v>367</v>
      </c>
      <c r="B35" s="292"/>
      <c r="C35" s="292"/>
      <c r="D35" s="293" t="s">
        <v>1548</v>
      </c>
      <c r="E35" s="293" t="s">
        <v>1549</v>
      </c>
      <c r="F35" s="294" t="s">
        <v>1556</v>
      </c>
      <c r="G35" s="295" t="s">
        <v>1559</v>
      </c>
      <c r="H35" s="296" t="s">
        <v>1537</v>
      </c>
      <c r="I35" s="125"/>
      <c r="N35"/>
    </row>
    <row r="36" spans="1:14" ht="12" thickBot="1" x14ac:dyDescent="0.25">
      <c r="A36" s="288" t="s">
        <v>1553</v>
      </c>
      <c r="B36" s="293" t="s">
        <v>1554</v>
      </c>
      <c r="C36" s="293" t="s">
        <v>904</v>
      </c>
      <c r="D36" s="293" t="s">
        <v>786</v>
      </c>
      <c r="E36" s="293" t="s">
        <v>786</v>
      </c>
      <c r="F36" s="303">
        <f>SUM(F37:F42)</f>
        <v>5249136.9002857162</v>
      </c>
      <c r="G36" s="298">
        <f>'DOE25'!L248+'DOE25'!L329</f>
        <v>5249136.9002857143</v>
      </c>
      <c r="H36" s="348">
        <f>F36-G36</f>
        <v>0</v>
      </c>
      <c r="I36" s="369" t="str">
        <f>IF(H36=0,"","ISSUES!! Please review page 9 and 13 totals in comparison with total on this page")</f>
        <v/>
      </c>
      <c r="N36"/>
    </row>
    <row r="37" spans="1:14" x14ac:dyDescent="0.2">
      <c r="A37" s="21" t="s">
        <v>1049</v>
      </c>
      <c r="B37" s="299">
        <f>IFERROR(VLOOKUP(A37,'School Tables'!$O$3:$P$118,2,FALSE),"")</f>
        <v>22050</v>
      </c>
      <c r="C37" s="292" t="str">
        <f t="array" ref="C37">IFERROR(INDEX('School Tables'!$N$3:$N$118,MATCH('School Level Expenditures'!B37,'School Tables'!$P$3:$P$118,0)),"")</f>
        <v>Farmington</v>
      </c>
      <c r="D37" s="289">
        <v>5001128.1539350664</v>
      </c>
      <c r="E37" s="289">
        <v>248008.74635064931</v>
      </c>
      <c r="F37" s="302">
        <f t="shared" ref="F37:F42" si="2">D37+E37</f>
        <v>5249136.9002857162</v>
      </c>
      <c r="G37" s="292"/>
      <c r="H37" s="292"/>
      <c r="I37" s="370"/>
      <c r="N37"/>
    </row>
    <row r="38" spans="1:14" x14ac:dyDescent="0.2">
      <c r="A38" s="21"/>
      <c r="B38" s="299" t="str">
        <f>IFERROR(VLOOKUP(A38,'School Tables'!$O$3:$P$118,2,FALSE),"")</f>
        <v/>
      </c>
      <c r="C38" s="292" t="str">
        <f t="array" ref="C38">IFERROR(INDEX('School Tables'!$N$3:$N$118,MATCH('School Level Expenditures'!B38,'School Tables'!$P$3:$P$118,0)),"")</f>
        <v/>
      </c>
      <c r="D38" s="289"/>
      <c r="E38" s="289"/>
      <c r="F38" s="302">
        <f t="shared" si="2"/>
        <v>0</v>
      </c>
      <c r="G38" s="292"/>
      <c r="H38" s="292"/>
      <c r="I38" s="370"/>
      <c r="N38"/>
    </row>
    <row r="39" spans="1:14" x14ac:dyDescent="0.2">
      <c r="A39" s="21"/>
      <c r="B39" s="299" t="str">
        <f>IFERROR(VLOOKUP(A39,'School Tables'!$O$3:$P$118,2,FALSE),"")</f>
        <v/>
      </c>
      <c r="C39" s="292" t="str">
        <f t="array" ref="C39">IFERROR(INDEX('School Tables'!$N$3:$N$118,MATCH('School Level Expenditures'!B39,'School Tables'!$P$3:$P$118,0)),"")</f>
        <v/>
      </c>
      <c r="D39" s="289"/>
      <c r="E39" s="289"/>
      <c r="F39" s="302">
        <f t="shared" si="2"/>
        <v>0</v>
      </c>
      <c r="G39" s="292"/>
      <c r="H39" s="292"/>
      <c r="I39" s="125"/>
      <c r="N39"/>
    </row>
    <row r="40" spans="1:14" x14ac:dyDescent="0.2">
      <c r="A40" s="21"/>
      <c r="B40" s="299" t="str">
        <f>IFERROR(VLOOKUP(A40,'School Tables'!$O$3:$P$118,2,FALSE),"")</f>
        <v/>
      </c>
      <c r="C40" s="292" t="str">
        <f t="array" ref="C40">IFERROR(INDEX('School Tables'!$N$3:$N$118,MATCH('School Level Expenditures'!B40,'School Tables'!$P$3:$P$118,0)),"")</f>
        <v/>
      </c>
      <c r="D40" s="289"/>
      <c r="E40" s="289"/>
      <c r="F40" s="302">
        <f t="shared" si="2"/>
        <v>0</v>
      </c>
      <c r="G40" s="292"/>
      <c r="H40" s="292"/>
      <c r="I40" s="125"/>
      <c r="N40"/>
    </row>
    <row r="41" spans="1:14" x14ac:dyDescent="0.2">
      <c r="A41" s="21"/>
      <c r="B41" s="299" t="str">
        <f>IFERROR(VLOOKUP(A41,'School Tables'!$O$3:$P$118,2,FALSE),"")</f>
        <v/>
      </c>
      <c r="C41" s="292" t="str">
        <f t="array" ref="C41">IFERROR(INDEX('School Tables'!$N$3:$N$118,MATCH('School Level Expenditures'!B41,'School Tables'!$P$3:$P$118,0)),"")</f>
        <v/>
      </c>
      <c r="D41" s="21"/>
      <c r="E41" s="21"/>
      <c r="F41" s="302">
        <f t="shared" si="2"/>
        <v>0</v>
      </c>
      <c r="G41" s="292"/>
      <c r="H41" s="292"/>
      <c r="I41" s="125"/>
      <c r="N41"/>
    </row>
    <row r="42" spans="1:14" x14ac:dyDescent="0.2">
      <c r="A42" s="21"/>
      <c r="B42" s="299" t="str">
        <f>IFERROR(VLOOKUP(A42,'School Tables'!$O$3:$P$118,2,FALSE),"")</f>
        <v/>
      </c>
      <c r="C42" s="292" t="str">
        <f t="array" ref="C42">IFERROR(INDEX('School Tables'!$N$3:$N$118,MATCH('School Level Expenditures'!B42,'School Tables'!$P$3:$P$118,0)),"")</f>
        <v/>
      </c>
      <c r="D42" s="21"/>
      <c r="E42" s="21"/>
      <c r="F42" s="304">
        <f t="shared" si="2"/>
        <v>0</v>
      </c>
      <c r="G42" s="305"/>
      <c r="H42" s="305"/>
      <c r="N42"/>
    </row>
    <row r="43" spans="1:14" ht="12" thickBot="1" x14ac:dyDescent="0.25">
      <c r="D43" s="346">
        <f>SUM(D37:D42)</f>
        <v>5001128.1539350664</v>
      </c>
      <c r="E43" s="347">
        <f>SUM(E37:E42)</f>
        <v>248008.74635064931</v>
      </c>
      <c r="N43"/>
    </row>
    <row r="44" spans="1:14" ht="12" thickTop="1" x14ac:dyDescent="0.2">
      <c r="N44"/>
    </row>
    <row r="45" spans="1:14" x14ac:dyDescent="0.2">
      <c r="N45"/>
    </row>
    <row r="46" spans="1:14" ht="12" x14ac:dyDescent="0.2">
      <c r="A46" s="278" t="s">
        <v>767</v>
      </c>
      <c r="B46" s="277"/>
      <c r="C46" s="277"/>
      <c r="D46" s="277"/>
      <c r="E46" s="277"/>
      <c r="F46" s="277"/>
      <c r="G46" s="277"/>
      <c r="H46" s="277"/>
      <c r="N46"/>
    </row>
    <row r="47" spans="1:14" ht="12" x14ac:dyDescent="0.2">
      <c r="A47" s="277" t="s">
        <v>1570</v>
      </c>
      <c r="B47" s="277"/>
      <c r="C47" s="277"/>
      <c r="D47" s="277"/>
      <c r="E47" s="277"/>
      <c r="F47" s="277"/>
      <c r="G47" s="277"/>
      <c r="H47" s="277"/>
      <c r="N47"/>
    </row>
    <row r="48" spans="1:14" ht="12" x14ac:dyDescent="0.2">
      <c r="A48" s="277" t="s">
        <v>1571</v>
      </c>
      <c r="B48" s="277"/>
      <c r="C48" s="277"/>
      <c r="D48" s="277"/>
      <c r="E48" s="277"/>
      <c r="F48" s="277"/>
      <c r="G48" s="277"/>
      <c r="H48" s="277"/>
      <c r="N48"/>
    </row>
    <row r="49" spans="1:14" ht="12" x14ac:dyDescent="0.2">
      <c r="A49" s="277"/>
      <c r="B49" s="277"/>
      <c r="C49" s="277"/>
      <c r="D49" s="277"/>
      <c r="E49" s="277"/>
      <c r="F49" s="277"/>
      <c r="G49" s="277"/>
      <c r="H49" s="277"/>
      <c r="N49"/>
    </row>
    <row r="50" spans="1:14" ht="12" x14ac:dyDescent="0.2">
      <c r="A50" s="277" t="s">
        <v>1572</v>
      </c>
      <c r="B50" s="277"/>
      <c r="C50" s="277"/>
      <c r="D50" s="277"/>
      <c r="E50" s="277"/>
      <c r="F50" s="277"/>
      <c r="G50" s="277"/>
      <c r="H50" s="277"/>
      <c r="N50"/>
    </row>
    <row r="51" spans="1:14" ht="12" x14ac:dyDescent="0.2">
      <c r="A51" s="277"/>
      <c r="B51" s="277"/>
      <c r="C51" s="277"/>
      <c r="D51" s="277"/>
      <c r="E51" s="277"/>
      <c r="F51" s="277"/>
      <c r="G51" s="277"/>
      <c r="H51" s="277"/>
      <c r="N51"/>
    </row>
    <row r="52" spans="1:14" ht="12" x14ac:dyDescent="0.2">
      <c r="A52" s="277" t="s">
        <v>1573</v>
      </c>
      <c r="B52" s="277"/>
      <c r="C52" s="277"/>
      <c r="D52" s="277"/>
      <c r="E52" s="277"/>
      <c r="F52" s="277"/>
      <c r="G52" s="277"/>
      <c r="H52" s="277"/>
      <c r="N52"/>
    </row>
    <row r="53" spans="1:14" ht="12" x14ac:dyDescent="0.2">
      <c r="A53" s="277"/>
      <c r="B53" s="277"/>
      <c r="C53" s="277"/>
      <c r="D53" s="277"/>
      <c r="E53" s="277"/>
      <c r="F53" s="277"/>
      <c r="G53" s="277"/>
      <c r="H53" s="277"/>
      <c r="N53"/>
    </row>
    <row r="54" spans="1:14" ht="12" x14ac:dyDescent="0.2">
      <c r="A54" s="277"/>
      <c r="B54" s="277"/>
      <c r="C54" s="277"/>
      <c r="D54" s="277"/>
      <c r="E54" s="277"/>
      <c r="F54" s="277"/>
      <c r="G54" s="277"/>
      <c r="H54" s="277"/>
      <c r="N54"/>
    </row>
    <row r="55" spans="1:14" ht="12" x14ac:dyDescent="0.2">
      <c r="A55" s="277"/>
      <c r="B55" s="277"/>
      <c r="C55" s="277"/>
      <c r="D55" s="277"/>
      <c r="E55" s="277"/>
      <c r="F55" s="277"/>
      <c r="G55" s="277"/>
      <c r="H55" s="277"/>
      <c r="N55"/>
    </row>
    <row r="56" spans="1:14" ht="12" x14ac:dyDescent="0.2">
      <c r="A56" s="277"/>
      <c r="B56" s="277"/>
      <c r="C56" s="277"/>
      <c r="D56" s="277"/>
      <c r="E56" s="277"/>
      <c r="F56" s="277"/>
      <c r="G56" s="277"/>
      <c r="H56" s="277"/>
      <c r="N56"/>
    </row>
    <row r="57" spans="1:14" ht="12" x14ac:dyDescent="0.2">
      <c r="A57" s="277"/>
      <c r="B57" s="277"/>
      <c r="C57" s="277"/>
      <c r="D57" s="277"/>
      <c r="E57" s="277"/>
      <c r="F57" s="277"/>
      <c r="G57" s="277"/>
      <c r="H57" s="277"/>
      <c r="N57"/>
    </row>
    <row r="58" spans="1:14" ht="12" x14ac:dyDescent="0.2">
      <c r="A58" s="368"/>
      <c r="B58" s="368"/>
      <c r="C58" s="368"/>
      <c r="D58" s="368"/>
      <c r="E58" s="368"/>
      <c r="F58" s="368"/>
      <c r="G58" s="368"/>
      <c r="H58" s="277"/>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9" activePane="bottomLeft" state="frozen"/>
      <selection activeCell="F46" sqref="F46"/>
      <selection pane="bottomLeft" activeCell="A102" sqref="A10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Farmington</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265033.89</v>
      </c>
      <c r="D8" s="94">
        <f>'DOE25'!G9</f>
        <v>18381.18</v>
      </c>
      <c r="E8" s="94">
        <f>'DOE25'!H9</f>
        <v>0</v>
      </c>
      <c r="F8" s="94">
        <f>'DOE25'!I9</f>
        <v>0</v>
      </c>
      <c r="G8" s="94">
        <f>'DOE25'!J9</f>
        <v>0</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0</v>
      </c>
      <c r="D11" s="94">
        <f>'DOE25'!G12</f>
        <v>0</v>
      </c>
      <c r="E11" s="94">
        <f>'DOE25'!H12</f>
        <v>0</v>
      </c>
      <c r="F11" s="94">
        <f>'DOE25'!I12</f>
        <v>0</v>
      </c>
      <c r="G11" s="94">
        <f>'DOE25'!J12</f>
        <v>0</v>
      </c>
      <c r="H11" s="123"/>
      <c r="I11" s="123"/>
    </row>
    <row r="12" spans="1:9" x14ac:dyDescent="0.2">
      <c r="A12" s="1" t="s">
        <v>143</v>
      </c>
      <c r="B12" s="6">
        <v>140</v>
      </c>
      <c r="C12" s="94">
        <f>'DOE25'!F13</f>
        <v>701068.01</v>
      </c>
      <c r="D12" s="94">
        <f>'DOE25'!G13</f>
        <v>0</v>
      </c>
      <c r="E12" s="94">
        <f>'DOE25'!H13</f>
        <v>641444.98</v>
      </c>
      <c r="F12" s="94">
        <f>'DOE25'!I13</f>
        <v>0</v>
      </c>
      <c r="G12" s="94">
        <f>'DOE25'!J13</f>
        <v>1187347.98</v>
      </c>
      <c r="H12" s="123"/>
      <c r="I12" s="123"/>
    </row>
    <row r="13" spans="1:9" x14ac:dyDescent="0.2">
      <c r="A13" s="1" t="s">
        <v>144</v>
      </c>
      <c r="B13" s="6">
        <v>150</v>
      </c>
      <c r="C13" s="94">
        <f>'DOE25'!F14</f>
        <v>173579.18</v>
      </c>
      <c r="D13" s="94">
        <f>'DOE25'!G14</f>
        <v>136747.29999999999</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0</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1139681.08</v>
      </c>
      <c r="D18" s="41">
        <f>SUM(D8:D17)</f>
        <v>155128.47999999998</v>
      </c>
      <c r="E18" s="41">
        <f>SUM(E8:E17)</f>
        <v>641444.98</v>
      </c>
      <c r="F18" s="41">
        <f>SUM(F8:F17)</f>
        <v>0</v>
      </c>
      <c r="G18" s="41">
        <f>SUM(G8:G17)</f>
        <v>1187347.98</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0</v>
      </c>
      <c r="D21" s="94">
        <f>'DOE25'!G22</f>
        <v>77480.84</v>
      </c>
      <c r="E21" s="94">
        <f>'DOE25'!H22</f>
        <v>623587.17000000004</v>
      </c>
      <c r="F21" s="94">
        <f>'DOE25'!I22</f>
        <v>0</v>
      </c>
      <c r="G21" s="94">
        <f>'DOE25'!J22</f>
        <v>0</v>
      </c>
      <c r="H21" s="123"/>
      <c r="I21" s="123"/>
    </row>
    <row r="22" spans="1:9" x14ac:dyDescent="0.2">
      <c r="A22" s="1" t="s">
        <v>151</v>
      </c>
      <c r="B22" s="6">
        <v>410</v>
      </c>
      <c r="C22" s="94">
        <f>'DOE25'!F23</f>
        <v>0</v>
      </c>
      <c r="D22" s="94">
        <f>'DOE25'!G23</f>
        <v>0</v>
      </c>
      <c r="E22" s="94">
        <f>'DOE25'!H23</f>
        <v>0</v>
      </c>
      <c r="F22" s="94">
        <f>'DOE25'!I23</f>
        <v>0</v>
      </c>
      <c r="G22" s="94">
        <f>'DOE25'!J23</f>
        <v>0</v>
      </c>
      <c r="H22" s="123"/>
      <c r="I22" s="123"/>
    </row>
    <row r="23" spans="1:9" x14ac:dyDescent="0.2">
      <c r="A23" s="1" t="s">
        <v>152</v>
      </c>
      <c r="B23" s="6">
        <v>420</v>
      </c>
      <c r="C23" s="94">
        <f>'DOE25'!F24</f>
        <v>331446.55</v>
      </c>
      <c r="D23" s="94">
        <f>'DOE25'!G24</f>
        <v>66209.95</v>
      </c>
      <c r="E23" s="94">
        <f>'DOE25'!H24</f>
        <v>0</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-172371.65</v>
      </c>
      <c r="D27" s="94">
        <f>'DOE25'!G28</f>
        <v>0</v>
      </c>
      <c r="E27" s="94">
        <f>'DOE25'!H28</f>
        <v>14988.36</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7129.08</v>
      </c>
      <c r="E29" s="94">
        <f>'DOE25'!H30</f>
        <v>2868.66</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159074.9</v>
      </c>
      <c r="D31" s="41">
        <f>SUM(D21:D30)</f>
        <v>150819.86999999997</v>
      </c>
      <c r="E31" s="41">
        <f>SUM(E21:E30)</f>
        <v>641444.19000000006</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0</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4308.6099999999997</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63318</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1187347.98</v>
      </c>
      <c r="H47" s="123"/>
      <c r="I47" s="123"/>
    </row>
    <row r="48" spans="1:9" x14ac:dyDescent="0.2">
      <c r="A48" s="1" t="s">
        <v>882</v>
      </c>
      <c r="B48" s="6">
        <v>753</v>
      </c>
      <c r="C48" s="94">
        <f>'DOE25'!F49</f>
        <v>197538.22</v>
      </c>
      <c r="D48" s="94">
        <f>'DOE25'!G49</f>
        <v>0</v>
      </c>
      <c r="E48" s="94">
        <f>'DOE25'!H49</f>
        <v>0.79</v>
      </c>
      <c r="F48" s="94">
        <f>'DOE25'!I49</f>
        <v>0</v>
      </c>
      <c r="G48" s="94">
        <f>'DOE25'!J49</f>
        <v>0</v>
      </c>
      <c r="H48" s="123"/>
      <c r="I48" s="123"/>
    </row>
    <row r="49" spans="1:9" ht="12" thickBot="1" x14ac:dyDescent="0.25">
      <c r="A49" s="29" t="s">
        <v>883</v>
      </c>
      <c r="B49" s="70">
        <v>770</v>
      </c>
      <c r="C49" s="94">
        <f>'DOE25'!F50</f>
        <v>719749.96</v>
      </c>
      <c r="D49" s="24" t="s">
        <v>288</v>
      </c>
      <c r="E49" s="24" t="s">
        <v>288</v>
      </c>
      <c r="F49" s="24" t="s">
        <v>288</v>
      </c>
      <c r="G49" s="24" t="s">
        <v>288</v>
      </c>
      <c r="H49" s="123"/>
      <c r="I49" s="123"/>
    </row>
    <row r="50" spans="1:9" ht="12.75" thickTop="1" thickBot="1" x14ac:dyDescent="0.25">
      <c r="A50" s="38" t="s">
        <v>884</v>
      </c>
      <c r="B50" s="48"/>
      <c r="C50" s="41">
        <f>SUM(C34:C49)</f>
        <v>980606.17999999993</v>
      </c>
      <c r="D50" s="41">
        <f>SUM(D34:D49)</f>
        <v>4308.6099999999997</v>
      </c>
      <c r="E50" s="41">
        <f>SUM(E34:E49)</f>
        <v>0.79</v>
      </c>
      <c r="F50" s="41">
        <f>SUM(F34:F49)</f>
        <v>0</v>
      </c>
      <c r="G50" s="41">
        <f>SUM(G34:G49)</f>
        <v>1187347.98</v>
      </c>
      <c r="H50" s="123"/>
      <c r="I50" s="123"/>
    </row>
    <row r="51" spans="1:9" ht="12" thickTop="1" x14ac:dyDescent="0.2">
      <c r="A51" s="38" t="s">
        <v>885</v>
      </c>
      <c r="B51" s="2"/>
      <c r="C51" s="41">
        <f>C50+C31</f>
        <v>1139681.0799999998</v>
      </c>
      <c r="D51" s="41">
        <f>D50+D31</f>
        <v>155128.47999999995</v>
      </c>
      <c r="E51" s="41">
        <f>E50+E31</f>
        <v>641444.9800000001</v>
      </c>
      <c r="F51" s="41">
        <f>F50+F31</f>
        <v>0</v>
      </c>
      <c r="G51" s="41">
        <f>G50+G31</f>
        <v>1187347.98</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6776740</v>
      </c>
      <c r="D56" s="94">
        <f>'DOE25'!G60</f>
        <v>0</v>
      </c>
      <c r="E56" s="94">
        <f>'DOE25'!H60</f>
        <v>0</v>
      </c>
      <c r="F56" s="94">
        <f>'DOE25'!I60</f>
        <v>0</v>
      </c>
      <c r="G56" s="94">
        <f>'DOE25'!J60</f>
        <v>0</v>
      </c>
      <c r="H56"/>
      <c r="I56"/>
    </row>
    <row r="57" spans="1:9" x14ac:dyDescent="0.2">
      <c r="A57" s="1" t="s">
        <v>164</v>
      </c>
      <c r="B57" s="6" t="s">
        <v>165</v>
      </c>
      <c r="C57" s="94">
        <f>'DOE25'!F79</f>
        <v>6387.54</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0</v>
      </c>
      <c r="D59" s="94">
        <f>'DOE25'!G96</f>
        <v>0</v>
      </c>
      <c r="E59" s="94">
        <f>'DOE25'!H96</f>
        <v>0</v>
      </c>
      <c r="F59" s="94">
        <f>'DOE25'!I96</f>
        <v>0</v>
      </c>
      <c r="G59" s="94">
        <f>'DOE25'!J96</f>
        <v>2003.42</v>
      </c>
      <c r="H59"/>
      <c r="I59"/>
    </row>
    <row r="60" spans="1:9" x14ac:dyDescent="0.2">
      <c r="A60" s="1" t="s">
        <v>170</v>
      </c>
      <c r="B60" s="117" t="s">
        <v>171</v>
      </c>
      <c r="C60" s="24" t="s">
        <v>288</v>
      </c>
      <c r="D60" s="94">
        <f>'DOE25'!G97</f>
        <v>16152.07</v>
      </c>
      <c r="E60" s="24" t="s">
        <v>288</v>
      </c>
      <c r="F60" s="24" t="s">
        <v>288</v>
      </c>
      <c r="G60" s="24" t="s">
        <v>288</v>
      </c>
      <c r="H60"/>
      <c r="I60"/>
    </row>
    <row r="61" spans="1:9" ht="12" thickBot="1" x14ac:dyDescent="0.25">
      <c r="A61" s="1" t="s">
        <v>172</v>
      </c>
      <c r="B61" s="117" t="s">
        <v>173</v>
      </c>
      <c r="C61" s="94">
        <f>SUM('DOE25'!F98:F110)</f>
        <v>4410.0200000000004</v>
      </c>
      <c r="D61" s="94">
        <f>SUM('DOE25'!G98:G110)</f>
        <v>0</v>
      </c>
      <c r="E61" s="94">
        <f>SUM('DOE25'!H98:H110)</f>
        <v>0</v>
      </c>
      <c r="F61" s="94">
        <f>SUM('DOE25'!I98:I110)</f>
        <v>0</v>
      </c>
      <c r="G61" s="94">
        <f>SUM('DOE25'!J98:J110)</f>
        <v>0</v>
      </c>
      <c r="H61"/>
      <c r="I61"/>
    </row>
    <row r="62" spans="1:9" ht="12.75" thickTop="1" thickBot="1" x14ac:dyDescent="0.25">
      <c r="A62" s="29" t="s">
        <v>174</v>
      </c>
      <c r="B62" s="6"/>
      <c r="C62" s="129">
        <f>SUM(C57:C61)</f>
        <v>10797.560000000001</v>
      </c>
      <c r="D62" s="129">
        <f>SUM(D57:D61)</f>
        <v>16152.07</v>
      </c>
      <c r="E62" s="129">
        <f>SUM(E57:E61)</f>
        <v>0</v>
      </c>
      <c r="F62" s="129">
        <f>SUM(F57:F61)</f>
        <v>0</v>
      </c>
      <c r="G62" s="129">
        <f>SUM(G57:G61)</f>
        <v>2003.42</v>
      </c>
      <c r="H62"/>
      <c r="I62"/>
    </row>
    <row r="63" spans="1:9" ht="12" thickTop="1" x14ac:dyDescent="0.2">
      <c r="A63" s="29" t="s">
        <v>175</v>
      </c>
      <c r="B63" s="6"/>
      <c r="C63" s="22">
        <f>C56+C62</f>
        <v>6787537.5599999996</v>
      </c>
      <c r="D63" s="22">
        <f>D56+D62</f>
        <v>16152.07</v>
      </c>
      <c r="E63" s="22">
        <f>E56+E62</f>
        <v>0</v>
      </c>
      <c r="F63" s="22">
        <f>F56+F62</f>
        <v>0</v>
      </c>
      <c r="G63" s="22">
        <f>G56+G62</f>
        <v>2003.42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6769222.7199999997</v>
      </c>
      <c r="D66" s="24" t="s">
        <v>288</v>
      </c>
      <c r="E66" s="24" t="s">
        <v>288</v>
      </c>
      <c r="F66" s="24" t="s">
        <v>288</v>
      </c>
      <c r="G66" s="24" t="s">
        <v>288</v>
      </c>
      <c r="H66"/>
      <c r="I66"/>
    </row>
    <row r="67" spans="1:9" x14ac:dyDescent="0.2">
      <c r="A67" s="1" t="s">
        <v>770</v>
      </c>
      <c r="B67" s="6">
        <v>3112</v>
      </c>
      <c r="C67" s="94">
        <f>'DOE25'!F118</f>
        <v>1021908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3990.42</v>
      </c>
      <c r="D69" s="94">
        <f>'DOE25'!G120</f>
        <v>0</v>
      </c>
      <c r="E69" s="94">
        <f>'DOE25'!H120</f>
        <v>0</v>
      </c>
      <c r="F69" s="94">
        <f>'DOE25'!I120</f>
        <v>0</v>
      </c>
      <c r="G69" s="94">
        <f>'DOE25'!J120</f>
        <v>0</v>
      </c>
      <c r="H69"/>
      <c r="I69"/>
    </row>
    <row r="70" spans="1:9" ht="12" thickTop="1" x14ac:dyDescent="0.2">
      <c r="A70" s="29" t="s">
        <v>252</v>
      </c>
      <c r="B70" s="2"/>
      <c r="C70" s="138">
        <f>SUM(C66:C69)</f>
        <v>7795121.1399999997</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0</v>
      </c>
      <c r="D74" s="24"/>
      <c r="E74" s="24"/>
      <c r="F74" s="24"/>
      <c r="G74" s="24"/>
      <c r="H74"/>
      <c r="I74"/>
    </row>
    <row r="75" spans="1:9" x14ac:dyDescent="0.2">
      <c r="A75" s="1" t="s">
        <v>256</v>
      </c>
      <c r="B75" s="6">
        <v>3230</v>
      </c>
      <c r="C75" s="94">
        <f>'DOE25'!F126</f>
        <v>143379.63</v>
      </c>
      <c r="D75" s="24" t="s">
        <v>288</v>
      </c>
      <c r="E75" s="24" t="s">
        <v>288</v>
      </c>
      <c r="F75" s="24" t="s">
        <v>288</v>
      </c>
      <c r="G75" s="24" t="s">
        <v>288</v>
      </c>
      <c r="H75"/>
      <c r="I75"/>
    </row>
    <row r="76" spans="1:9" x14ac:dyDescent="0.2">
      <c r="A76" s="1" t="s">
        <v>257</v>
      </c>
      <c r="B76" s="6" t="s">
        <v>179</v>
      </c>
      <c r="C76" s="94">
        <f>SUM('DOE25'!F127:F130)</f>
        <v>7141.57</v>
      </c>
      <c r="D76" s="24" t="s">
        <v>288</v>
      </c>
      <c r="E76" s="94">
        <f>SUM('DOE25'!H127:H130)</f>
        <v>0</v>
      </c>
      <c r="F76" s="94">
        <f>SUM('DOE25'!I127:I130)</f>
        <v>0</v>
      </c>
      <c r="G76" s="24" t="s">
        <v>288</v>
      </c>
      <c r="H76"/>
      <c r="I76"/>
    </row>
    <row r="77" spans="1:9" ht="12" thickBot="1" x14ac:dyDescent="0.25">
      <c r="A77" s="1" t="s">
        <v>258</v>
      </c>
      <c r="B77" s="6" t="s">
        <v>180</v>
      </c>
      <c r="C77" s="94">
        <f>SUM('DOE25'!F131:F135)</f>
        <v>20152.509999999998</v>
      </c>
      <c r="D77" s="94">
        <f>SUM('DOE25'!G131:G135)</f>
        <v>6452.99</v>
      </c>
      <c r="E77" s="94">
        <f>SUM('DOE25'!H131:H135)</f>
        <v>0</v>
      </c>
      <c r="F77" s="94">
        <f>SUM('DOE25'!I131:I135)</f>
        <v>0</v>
      </c>
      <c r="G77" s="94">
        <f>SUM('DOE25'!J131:J135)</f>
        <v>0</v>
      </c>
      <c r="H77"/>
      <c r="I77"/>
    </row>
    <row r="78" spans="1:9" ht="12.75" thickTop="1" thickBot="1" x14ac:dyDescent="0.25">
      <c r="A78" s="29" t="s">
        <v>259</v>
      </c>
      <c r="B78" s="6"/>
      <c r="C78" s="129">
        <f>SUM(C72:C77)</f>
        <v>170673.71000000002</v>
      </c>
      <c r="D78" s="129">
        <f>SUM(D72:D77)</f>
        <v>6452.99</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84294.760000000009</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7965794.8499999996</v>
      </c>
      <c r="D81" s="129">
        <f>SUM(D79:D80)+D78+D70</f>
        <v>6452.99</v>
      </c>
      <c r="E81" s="129">
        <f>SUM(E79:E80)+E78+E70</f>
        <v>84294.760000000009</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0</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s="286" t="s">
        <v>747</v>
      </c>
      <c r="B88" s="327" t="s">
        <v>184</v>
      </c>
      <c r="C88" s="328">
        <f>SUM('DOE25'!F153:F162)</f>
        <v>69311.63</v>
      </c>
      <c r="D88" s="328">
        <f>SUM('DOE25'!G153:G162)</f>
        <v>400832.06</v>
      </c>
      <c r="E88" s="328">
        <f>SUM('DOE25'!H153:H162)</f>
        <v>1261907.3399999999</v>
      </c>
      <c r="F88" s="328">
        <f>SUM('DOE25'!I153:I162)</f>
        <v>0</v>
      </c>
      <c r="G88" s="24" t="s">
        <v>288</v>
      </c>
    </row>
    <row r="89" spans="1:9" x14ac:dyDescent="0.2">
      <c r="A89" t="s">
        <v>748</v>
      </c>
      <c r="B89" s="32" t="s">
        <v>185</v>
      </c>
      <c r="C89" s="94">
        <f>'DOE25'!F164+'DOE25'!F167+'DOE25'!F169</f>
        <v>0</v>
      </c>
      <c r="D89" s="94">
        <f>'DOE25'!G164+'DOE25'!G169</f>
        <v>0</v>
      </c>
      <c r="E89" s="94">
        <f>'DOE25'!H164+'DOE25'!H169</f>
        <v>0</v>
      </c>
      <c r="F89" s="94">
        <f>'DOE25'!I164</f>
        <v>0</v>
      </c>
      <c r="G89" s="24" t="s">
        <v>288</v>
      </c>
    </row>
    <row r="90" spans="1:9" ht="12" thickBot="1" x14ac:dyDescent="0.25">
      <c r="A90" t="s">
        <v>749</v>
      </c>
      <c r="B90" s="32">
        <v>4810</v>
      </c>
      <c r="C90" s="94">
        <f>'DOE25'!F166</f>
        <v>0</v>
      </c>
      <c r="D90" s="24" t="s">
        <v>288</v>
      </c>
      <c r="E90" s="24" t="s">
        <v>288</v>
      </c>
      <c r="F90" s="24" t="s">
        <v>288</v>
      </c>
      <c r="G90" s="24" t="s">
        <v>288</v>
      </c>
    </row>
    <row r="91" spans="1:9" ht="12.75" thickTop="1" thickBot="1" x14ac:dyDescent="0.25">
      <c r="A91" s="33" t="s">
        <v>750</v>
      </c>
      <c r="C91" s="130">
        <f>SUM(C85:C90)</f>
        <v>69311.63</v>
      </c>
      <c r="D91" s="130">
        <f>SUM(D85:D90)</f>
        <v>400832.06</v>
      </c>
      <c r="E91" s="130">
        <f>SUM(E85:E90)</f>
        <v>1261907.3399999999</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SUM('DOE25'!F174:F176)</f>
        <v>0</v>
      </c>
      <c r="D93" s="24" t="s">
        <v>288</v>
      </c>
      <c r="E93" s="24" t="s">
        <v>288</v>
      </c>
      <c r="F93" s="94">
        <f>SUM('DOE25'!I174:I176)</f>
        <v>0</v>
      </c>
      <c r="G93" s="24" t="s">
        <v>288</v>
      </c>
    </row>
    <row r="94" spans="1:9" x14ac:dyDescent="0.2">
      <c r="A94" t="s">
        <v>752</v>
      </c>
      <c r="B94" s="32">
        <v>5140</v>
      </c>
      <c r="C94" s="94">
        <f>'DOE25'!F177</f>
        <v>0</v>
      </c>
      <c r="D94" s="24" t="s">
        <v>288</v>
      </c>
      <c r="E94" s="24" t="s">
        <v>288</v>
      </c>
      <c r="F94" s="94">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'DOE25'!G180</f>
        <v>30000</v>
      </c>
      <c r="E96" s="94">
        <f>'DOE25'!H180</f>
        <v>0</v>
      </c>
      <c r="F96" s="94">
        <f>'DOE25'!I180</f>
        <v>0</v>
      </c>
      <c r="G96" s="94">
        <f>'DOE25'!J180</f>
        <v>185000</v>
      </c>
    </row>
    <row r="97" spans="1:7" x14ac:dyDescent="0.2">
      <c r="A97" t="s">
        <v>754</v>
      </c>
      <c r="B97" s="32" t="s">
        <v>188</v>
      </c>
      <c r="C97" s="94">
        <f>SUM('DOE25'!F181:F182)</f>
        <v>0</v>
      </c>
      <c r="D97" s="94">
        <f>SUM('DOE25'!G181:G182)</f>
        <v>0</v>
      </c>
      <c r="E97" s="94">
        <f>SUM('DOE25'!H181:H182)</f>
        <v>0</v>
      </c>
      <c r="F97" s="94">
        <f>SUM('DOE25'!I181:I182)</f>
        <v>0</v>
      </c>
      <c r="G97" s="94">
        <f>SUM('DOE25'!J181:J182)</f>
        <v>0</v>
      </c>
    </row>
    <row r="98" spans="1:7" x14ac:dyDescent="0.2">
      <c r="A98" t="s">
        <v>755</v>
      </c>
      <c r="B98" s="32" t="s">
        <v>189</v>
      </c>
      <c r="C98" s="94">
        <f>'DOE25'!F183</f>
        <v>0</v>
      </c>
      <c r="D98" s="94">
        <f>'DOE25'!G183</f>
        <v>0</v>
      </c>
      <c r="E98" s="94">
        <f>'DOE25'!H183</f>
        <v>0</v>
      </c>
      <c r="F98" s="24" t="s">
        <v>288</v>
      </c>
      <c r="G98" s="94">
        <f>'DOE25'!J183</f>
        <v>0</v>
      </c>
    </row>
    <row r="99" spans="1:7" x14ac:dyDescent="0.2">
      <c r="A99" t="s">
        <v>756</v>
      </c>
      <c r="B99" s="32">
        <v>5251</v>
      </c>
      <c r="C99" s="94">
        <f>'DOE25'!F186</f>
        <v>198450</v>
      </c>
      <c r="D99" s="94">
        <f>'DOE25'!G186</f>
        <v>0</v>
      </c>
      <c r="E99" s="94">
        <f>'DOE25'!H186</f>
        <v>0</v>
      </c>
      <c r="F99" s="94">
        <f>'DOE25'!I186</f>
        <v>0</v>
      </c>
      <c r="G99" s="24" t="s">
        <v>288</v>
      </c>
    </row>
    <row r="100" spans="1:7" x14ac:dyDescent="0.2">
      <c r="A100" t="s">
        <v>757</v>
      </c>
      <c r="B100" s="32" t="s">
        <v>190</v>
      </c>
      <c r="C100" s="94">
        <f>SUM('DOE25'!F187:F188)</f>
        <v>0</v>
      </c>
      <c r="D100" s="94">
        <f>SUM('DOE25'!G187:G188)</f>
        <v>0</v>
      </c>
      <c r="E100" s="94">
        <f>SUM('DOE25'!H187:H188)</f>
        <v>0</v>
      </c>
      <c r="F100" s="94">
        <f>SUM('DOE25'!I187:I188)</f>
        <v>0</v>
      </c>
      <c r="G100" s="24" t="s">
        <v>288</v>
      </c>
    </row>
    <row r="101" spans="1:7" x14ac:dyDescent="0.2">
      <c r="A101" t="s">
        <v>758</v>
      </c>
      <c r="B101" s="32" t="s">
        <v>191</v>
      </c>
      <c r="C101" s="94">
        <f>'DOE25'!F190</f>
        <v>0</v>
      </c>
      <c r="D101" s="94">
        <f>'DOE25'!G190</f>
        <v>0</v>
      </c>
      <c r="E101" s="94">
        <f>'DOE25'!H190</f>
        <v>0</v>
      </c>
      <c r="F101" s="94">
        <f>'DOE25'!I190</f>
        <v>0</v>
      </c>
      <c r="G101" s="24" t="s">
        <v>288</v>
      </c>
    </row>
    <row r="102" spans="1:7" ht="12" thickBot="1" x14ac:dyDescent="0.25">
      <c r="A102" t="s">
        <v>759</v>
      </c>
      <c r="B102" s="32" t="s">
        <v>192</v>
      </c>
      <c r="C102" s="94">
        <f>SUM('DOE25'!F191:F192)</f>
        <v>0</v>
      </c>
      <c r="D102" s="94">
        <f>SUM('DOE25'!G191:G192)</f>
        <v>0</v>
      </c>
      <c r="E102" s="94">
        <f>SUM('DOE25'!H191:H192)</f>
        <v>0</v>
      </c>
      <c r="F102" s="94">
        <f>SUM('DOE25'!I191:I192)</f>
        <v>0</v>
      </c>
      <c r="G102" s="24" t="s">
        <v>288</v>
      </c>
    </row>
    <row r="103" spans="1:7" ht="12.75" thickTop="1" thickBot="1" x14ac:dyDescent="0.25">
      <c r="A103" s="33" t="s">
        <v>760</v>
      </c>
      <c r="C103" s="85">
        <f>SUM(C93:C102)</f>
        <v>198450</v>
      </c>
      <c r="D103" s="85">
        <f>SUM(D93:D102)</f>
        <v>30000</v>
      </c>
      <c r="E103" s="85">
        <f>SUM(E93:E102)</f>
        <v>0</v>
      </c>
      <c r="F103" s="85">
        <f>SUM(F93:F102)</f>
        <v>0</v>
      </c>
      <c r="G103" s="85">
        <f>SUM(G93:G102)</f>
        <v>185000</v>
      </c>
    </row>
    <row r="104" spans="1:7" ht="12.75" thickTop="1" thickBot="1" x14ac:dyDescent="0.25">
      <c r="A104" s="33" t="s">
        <v>761</v>
      </c>
      <c r="C104" s="85">
        <f>C63+C81+C91+C103</f>
        <v>15021094.040000001</v>
      </c>
      <c r="D104" s="85">
        <f>D63+D81+D91+D103</f>
        <v>453437.12</v>
      </c>
      <c r="E104" s="85">
        <f>E63+E81+E91+E103</f>
        <v>1346202.0999999999</v>
      </c>
      <c r="F104" s="85">
        <f>F63+F81+F91+F103</f>
        <v>0</v>
      </c>
      <c r="G104" s="85">
        <f>G63+G81+G103</f>
        <v>187003.42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('DOE25'!L198)+('DOE25'!L216)+('DOE25'!L234)</f>
        <v>5175922.8699999992</v>
      </c>
      <c r="D109" s="24" t="s">
        <v>288</v>
      </c>
      <c r="E109" s="94">
        <f>('DOE25'!L277)+('DOE25'!L296)+('DOE25'!L315)</f>
        <v>646213.28999999992</v>
      </c>
      <c r="F109" s="24" t="s">
        <v>288</v>
      </c>
      <c r="G109" s="24" t="s">
        <v>288</v>
      </c>
    </row>
    <row r="110" spans="1:7" x14ac:dyDescent="0.2">
      <c r="A110" t="s">
        <v>198</v>
      </c>
      <c r="B110" s="32" t="s">
        <v>199</v>
      </c>
      <c r="C110" s="94">
        <f>('DOE25'!L199)+('DOE25'!L217)+('DOE25'!L235)</f>
        <v>3348785.1899999995</v>
      </c>
      <c r="D110" s="24" t="s">
        <v>288</v>
      </c>
      <c r="E110" s="94">
        <f>('DOE25'!L278)+('DOE25'!L297)+('DOE25'!L316)</f>
        <v>136751.5</v>
      </c>
      <c r="F110" s="24" t="s">
        <v>288</v>
      </c>
      <c r="G110" s="24" t="s">
        <v>288</v>
      </c>
    </row>
    <row r="111" spans="1:7" x14ac:dyDescent="0.2">
      <c r="A111" t="s">
        <v>200</v>
      </c>
      <c r="B111" s="32" t="s">
        <v>165</v>
      </c>
      <c r="C111" s="94">
        <f>('DOE25'!L200)+('DOE25'!L218)+('DOE25'!L236)</f>
        <v>31362.06</v>
      </c>
      <c r="D111" s="24" t="s">
        <v>288</v>
      </c>
      <c r="E111" s="94">
        <f>('DOE25'!L279)+('DOE25'!L298)+('DOE25'!L317)</f>
        <v>0</v>
      </c>
      <c r="F111" s="24" t="s">
        <v>288</v>
      </c>
      <c r="G111" s="24" t="s">
        <v>288</v>
      </c>
    </row>
    <row r="112" spans="1:7" x14ac:dyDescent="0.2">
      <c r="A112" t="s">
        <v>201</v>
      </c>
      <c r="B112" s="32" t="s">
        <v>167</v>
      </c>
      <c r="C112" s="94">
        <f>('DOE25'!L201)+('DOE25'!L219)+('DOE25'!L237)</f>
        <v>139368.76</v>
      </c>
      <c r="D112" s="24" t="s">
        <v>288</v>
      </c>
      <c r="E112" s="94">
        <f>+('DOE25'!L280)+('DOE25'!L299)+('DOE25'!L318)</f>
        <v>7544.49</v>
      </c>
      <c r="F112" s="24" t="s">
        <v>288</v>
      </c>
      <c r="G112" s="24" t="s">
        <v>288</v>
      </c>
    </row>
    <row r="113" spans="1:7" x14ac:dyDescent="0.2">
      <c r="A113" t="s">
        <v>202</v>
      </c>
      <c r="B113" s="32" t="s">
        <v>169</v>
      </c>
      <c r="C113" s="94">
        <f>'DOE25'!L251</f>
        <v>0</v>
      </c>
      <c r="D113" s="24" t="s">
        <v>288</v>
      </c>
      <c r="E113" s="94">
        <f>+'DOE25'!L333</f>
        <v>0</v>
      </c>
      <c r="F113" s="24" t="s">
        <v>288</v>
      </c>
      <c r="G113" s="24" t="s">
        <v>288</v>
      </c>
    </row>
    <row r="114" spans="1:7" ht="12" thickBot="1" x14ac:dyDescent="0.25">
      <c r="A114" t="s">
        <v>203</v>
      </c>
      <c r="B114" s="32" t="s">
        <v>204</v>
      </c>
      <c r="C114" s="94">
        <f>SUM('DOE25'!L252:L254)</f>
        <v>0</v>
      </c>
      <c r="D114" s="24" t="s">
        <v>288</v>
      </c>
      <c r="E114" s="94">
        <f>+ SUM('DOE25'!L334:L336)</f>
        <v>0</v>
      </c>
      <c r="F114" s="24" t="s">
        <v>288</v>
      </c>
      <c r="G114" s="24" t="s">
        <v>288</v>
      </c>
    </row>
    <row r="115" spans="1:7" ht="12.75" thickTop="1" thickBot="1" x14ac:dyDescent="0.25">
      <c r="A115" s="33" t="s">
        <v>205</v>
      </c>
      <c r="C115" s="85">
        <f>SUM(C109:C114)</f>
        <v>8695438.879999999</v>
      </c>
      <c r="D115" s="85">
        <f>SUM(D109:D114)</f>
        <v>0</v>
      </c>
      <c r="E115" s="85">
        <f>SUM(E109:E114)</f>
        <v>790509.27999999991</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('DOE25'!L203)+('DOE25'!L221)+('DOE25'!L239)</f>
        <v>1166732.0299999998</v>
      </c>
      <c r="D118" s="24" t="s">
        <v>288</v>
      </c>
      <c r="E118" s="94">
        <f>+('DOE25'!L282)+('DOE25'!L301)+('DOE25'!L320)</f>
        <v>173373.53</v>
      </c>
      <c r="F118" s="24" t="s">
        <v>288</v>
      </c>
      <c r="G118" s="24" t="s">
        <v>288</v>
      </c>
    </row>
    <row r="119" spans="1:7" x14ac:dyDescent="0.2">
      <c r="A119" t="s">
        <v>208</v>
      </c>
      <c r="B119" s="32" t="s">
        <v>209</v>
      </c>
      <c r="C119" s="94">
        <f>('DOE25'!L204)+('DOE25'!L222)+('DOE25'!L240)</f>
        <v>368140.82</v>
      </c>
      <c r="D119" s="24" t="s">
        <v>288</v>
      </c>
      <c r="E119" s="94">
        <f>+('DOE25'!L283)+('DOE25'!L302)+('DOE25'!L321)</f>
        <v>11911.910129870128</v>
      </c>
      <c r="F119" s="24" t="s">
        <v>288</v>
      </c>
      <c r="G119" s="24" t="s">
        <v>288</v>
      </c>
    </row>
    <row r="120" spans="1:7" x14ac:dyDescent="0.2">
      <c r="A120" t="s">
        <v>210</v>
      </c>
      <c r="B120" s="32" t="s">
        <v>211</v>
      </c>
      <c r="C120" s="94">
        <f>('DOE25'!L205)+('DOE25'!L223)+('DOE25'!L241)</f>
        <v>1043644.8499999999</v>
      </c>
      <c r="D120" s="24" t="s">
        <v>288</v>
      </c>
      <c r="E120" s="94">
        <f>+('DOE25'!L284)+('DOE25'!L303)+('DOE25'!L322)</f>
        <v>26146.889870129868</v>
      </c>
      <c r="F120" s="24" t="s">
        <v>288</v>
      </c>
      <c r="G120" s="24" t="s">
        <v>288</v>
      </c>
    </row>
    <row r="121" spans="1:7" x14ac:dyDescent="0.2">
      <c r="A121" t="s">
        <v>212</v>
      </c>
      <c r="B121" s="32" t="s">
        <v>213</v>
      </c>
      <c r="C121" s="94">
        <f>('DOE25'!L206)+('DOE25'!L224)+('DOE25'!L242)</f>
        <v>915234.90000000014</v>
      </c>
      <c r="D121" s="24" t="s">
        <v>288</v>
      </c>
      <c r="E121" s="94">
        <f>+('DOE25'!L285)+('DOE25'!L304)+('DOE25'!L323)</f>
        <v>0</v>
      </c>
      <c r="F121" s="24" t="s">
        <v>288</v>
      </c>
      <c r="G121" s="24" t="s">
        <v>288</v>
      </c>
    </row>
    <row r="122" spans="1:7" x14ac:dyDescent="0.2">
      <c r="A122" t="s">
        <v>214</v>
      </c>
      <c r="B122" s="32" t="s">
        <v>215</v>
      </c>
      <c r="C122" s="94">
        <f>('DOE25'!L207)+('DOE25'!L225)+('DOE25'!L243)</f>
        <v>0</v>
      </c>
      <c r="D122" s="24" t="s">
        <v>288</v>
      </c>
      <c r="E122" s="94">
        <f>+('DOE25'!L286)+('DOE25'!L305)+('DOE25'!L324)</f>
        <v>42322.259805194808</v>
      </c>
      <c r="F122" s="24" t="s">
        <v>288</v>
      </c>
      <c r="G122" s="24" t="s">
        <v>288</v>
      </c>
    </row>
    <row r="123" spans="1:7" x14ac:dyDescent="0.2">
      <c r="A123" t="s">
        <v>216</v>
      </c>
      <c r="B123" s="32" t="s">
        <v>217</v>
      </c>
      <c r="C123" s="94">
        <f>('DOE25'!L208)+('DOE25'!L226)+('DOE25'!L244)</f>
        <v>1835680.94</v>
      </c>
      <c r="D123" s="24" t="s">
        <v>288</v>
      </c>
      <c r="E123" s="94">
        <f>+('DOE25'!L287)+('DOE25'!L306)+('DOE25'!L325)</f>
        <v>19245.180194805194</v>
      </c>
      <c r="F123" s="24" t="s">
        <v>288</v>
      </c>
      <c r="G123" s="24" t="s">
        <v>288</v>
      </c>
    </row>
    <row r="124" spans="1:7" x14ac:dyDescent="0.2">
      <c r="A124" t="s">
        <v>218</v>
      </c>
      <c r="B124" s="32" t="s">
        <v>219</v>
      </c>
      <c r="C124" s="94">
        <f>('DOE25'!L209)+('DOE25'!L227)+('DOE25'!L245+'DOE25'!L255)</f>
        <v>432903.89999999991</v>
      </c>
      <c r="D124" s="24" t="s">
        <v>288</v>
      </c>
      <c r="E124" s="94">
        <f>+('DOE25'!L288)+('DOE25'!L307)+('DOE25'!L326)</f>
        <v>174832</v>
      </c>
      <c r="F124" s="24" t="s">
        <v>288</v>
      </c>
      <c r="G124" s="24" t="s">
        <v>288</v>
      </c>
    </row>
    <row r="125" spans="1:7" x14ac:dyDescent="0.2">
      <c r="A125" t="s">
        <v>220</v>
      </c>
      <c r="B125" s="32" t="s">
        <v>221</v>
      </c>
      <c r="C125" s="94">
        <f>('DOE25'!L210)+('DOE25'!L228)+('DOE25'!L246)</f>
        <v>412724.98</v>
      </c>
      <c r="D125" s="24" t="s">
        <v>288</v>
      </c>
      <c r="E125" s="94">
        <f>+('DOE25'!L289)+('DOE25'!L308)+('DOE25'!L327)</f>
        <v>107861.05000000002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('DOE25'!L359)+('DOE25'!L360)+('DOE25'!L361)</f>
        <v>449129.22</v>
      </c>
      <c r="E127" s="24" t="s">
        <v>288</v>
      </c>
      <c r="F127" s="24" t="s">
        <v>288</v>
      </c>
      <c r="G127" s="24" t="s">
        <v>288</v>
      </c>
    </row>
    <row r="128" spans="1:7" ht="12.75" thickTop="1" thickBot="1" x14ac:dyDescent="0.25">
      <c r="A128" s="33" t="s">
        <v>226</v>
      </c>
      <c r="C128" s="85">
        <f>SUM(C118:C127)</f>
        <v>6175062.4199999999</v>
      </c>
      <c r="D128" s="85">
        <f>SUM(D118:D127)</f>
        <v>449129.22</v>
      </c>
      <c r="E128" s="85">
        <f>SUM(E118:E127)</f>
        <v>555692.82000000007</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'DOE25'!L256</f>
        <v>0</v>
      </c>
      <c r="D130" s="24" t="s">
        <v>288</v>
      </c>
      <c r="E130" s="128">
        <f>'DOE25'!L337</f>
        <v>0</v>
      </c>
      <c r="F130" s="128">
        <f>SUM('DOE25'!L375:'DOE25'!L381)</f>
        <v>0</v>
      </c>
      <c r="G130" s="24" t="s">
        <v>288</v>
      </c>
    </row>
    <row r="131" spans="1:7" x14ac:dyDescent="0.2">
      <c r="A131" t="s">
        <v>229</v>
      </c>
      <c r="B131" s="32">
        <v>5110</v>
      </c>
      <c r="C131" s="94">
        <f>'DOE25'!L261</f>
        <v>0</v>
      </c>
      <c r="D131" s="24" t="s">
        <v>288</v>
      </c>
      <c r="E131" s="128">
        <f>'DOE25'!L342</f>
        <v>0</v>
      </c>
      <c r="F131" s="24" t="s">
        <v>288</v>
      </c>
      <c r="G131" s="24" t="s">
        <v>288</v>
      </c>
    </row>
    <row r="132" spans="1:7" x14ac:dyDescent="0.2">
      <c r="A132" t="s">
        <v>230</v>
      </c>
      <c r="B132" s="32">
        <v>5120</v>
      </c>
      <c r="C132" s="94">
        <f>'DOE25'!L262</f>
        <v>0</v>
      </c>
      <c r="D132" s="24" t="s">
        <v>288</v>
      </c>
      <c r="E132" s="128">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'DOE25'!K362</f>
        <v>0</v>
      </c>
      <c r="E134" s="94">
        <f>'DOE25'!L345</f>
        <v>0</v>
      </c>
      <c r="F134" s="94">
        <f>'DOE25'!K382</f>
        <v>0</v>
      </c>
      <c r="G134" s="94">
        <f>'DOE25'!K435</f>
        <v>204927</v>
      </c>
    </row>
    <row r="135" spans="1:7" x14ac:dyDescent="0.2">
      <c r="A135" t="s">
        <v>233</v>
      </c>
      <c r="B135" s="32" t="s">
        <v>234</v>
      </c>
      <c r="C135" s="94">
        <f>'DOE25'!L264</f>
        <v>30000</v>
      </c>
      <c r="D135" s="24" t="s">
        <v>288</v>
      </c>
      <c r="E135" s="128">
        <f>'DOE25'!L346</f>
        <v>0</v>
      </c>
      <c r="F135" s="24" t="s">
        <v>288</v>
      </c>
      <c r="G135" s="24" t="s">
        <v>288</v>
      </c>
    </row>
    <row r="136" spans="1:7" x14ac:dyDescent="0.2">
      <c r="A136" t="s">
        <v>235</v>
      </c>
      <c r="B136" s="32" t="s">
        <v>236</v>
      </c>
      <c r="C136" s="94">
        <f>'DOE25'!L265</f>
        <v>0</v>
      </c>
      <c r="D136" s="24" t="s">
        <v>288</v>
      </c>
      <c r="E136" s="24" t="s">
        <v>288</v>
      </c>
      <c r="F136" s="24" t="s">
        <v>288</v>
      </c>
      <c r="G136" s="24" t="s">
        <v>288</v>
      </c>
    </row>
    <row r="137" spans="1:7" x14ac:dyDescent="0.2">
      <c r="A137" t="s">
        <v>237</v>
      </c>
      <c r="B137" s="32" t="s">
        <v>189</v>
      </c>
      <c r="C137" s="94">
        <f>'DOE25'!L266</f>
        <v>0</v>
      </c>
      <c r="D137" s="24" t="s">
        <v>288</v>
      </c>
      <c r="E137" s="128">
        <f>'DOE25'!L347</f>
        <v>0</v>
      </c>
      <c r="F137" s="24" t="s">
        <v>288</v>
      </c>
      <c r="G137" s="24" t="s">
        <v>288</v>
      </c>
    </row>
    <row r="138" spans="1:7" x14ac:dyDescent="0.2">
      <c r="A138" t="s">
        <v>238</v>
      </c>
      <c r="B138" s="32">
        <v>5251</v>
      </c>
      <c r="C138" s="94">
        <f>'DOE25'!L394</f>
        <v>135623.94</v>
      </c>
      <c r="D138" s="24" t="s">
        <v>288</v>
      </c>
      <c r="E138" s="24" t="s">
        <v>288</v>
      </c>
      <c r="F138" s="24" t="s">
        <v>288</v>
      </c>
      <c r="G138" s="24" t="s">
        <v>288</v>
      </c>
    </row>
    <row r="139" spans="1:7" x14ac:dyDescent="0.2">
      <c r="A139" t="s">
        <v>239</v>
      </c>
      <c r="B139" s="32">
        <v>5252</v>
      </c>
      <c r="C139" s="94">
        <f>'DOE25'!L402</f>
        <v>51379.48</v>
      </c>
      <c r="D139" s="24" t="s">
        <v>288</v>
      </c>
      <c r="E139" s="24" t="s">
        <v>288</v>
      </c>
      <c r="F139" s="24" t="s">
        <v>288</v>
      </c>
      <c r="G139" s="24" t="s">
        <v>288</v>
      </c>
    </row>
    <row r="140" spans="1:7" x14ac:dyDescent="0.2">
      <c r="A140" t="s">
        <v>240</v>
      </c>
      <c r="B140" s="32">
        <v>5253</v>
      </c>
      <c r="C140" s="94">
        <f>'DOE25'!L408</f>
        <v>0</v>
      </c>
      <c r="D140" s="24" t="s">
        <v>288</v>
      </c>
      <c r="E140" s="24" t="s">
        <v>288</v>
      </c>
      <c r="F140" s="24" t="s">
        <v>288</v>
      </c>
      <c r="G140" s="24" t="s">
        <v>288</v>
      </c>
    </row>
    <row r="141" spans="1:7" x14ac:dyDescent="0.2">
      <c r="A141" t="s">
        <v>762</v>
      </c>
      <c r="B141" s="32">
        <v>5254</v>
      </c>
      <c r="C141" s="94">
        <f>('DOE25'!L267+'DOE25'!K348) - (C138+C139+C140)</f>
        <v>-2003.4200000000128</v>
      </c>
      <c r="D141" s="24" t="s">
        <v>288</v>
      </c>
      <c r="E141" s="24" t="s">
        <v>288</v>
      </c>
      <c r="F141" s="24" t="s">
        <v>288</v>
      </c>
      <c r="G141" s="24" t="s">
        <v>288</v>
      </c>
    </row>
    <row r="142" spans="1:7" x14ac:dyDescent="0.2">
      <c r="A142" t="s">
        <v>241</v>
      </c>
      <c r="B142" s="32">
        <v>5310</v>
      </c>
      <c r="C142" s="128">
        <f>'DOE25'!L269</f>
        <v>0</v>
      </c>
      <c r="D142" s="24" t="s">
        <v>288</v>
      </c>
      <c r="E142" s="128">
        <f>'DOE25'!L350</f>
        <v>0</v>
      </c>
      <c r="F142" s="24" t="s">
        <v>288</v>
      </c>
      <c r="G142" s="24" t="s">
        <v>288</v>
      </c>
    </row>
    <row r="143" spans="1:7" ht="12" thickBot="1" x14ac:dyDescent="0.25">
      <c r="A143" t="s">
        <v>242</v>
      </c>
      <c r="B143" s="32">
        <v>5390</v>
      </c>
      <c r="C143" s="128">
        <f>'DOE25'!L270</f>
        <v>0</v>
      </c>
      <c r="D143" s="24" t="s">
        <v>288</v>
      </c>
      <c r="E143" s="128">
        <f>'DOE25'!L351</f>
        <v>0</v>
      </c>
      <c r="F143" s="24" t="s">
        <v>288</v>
      </c>
      <c r="G143" s="24" t="s">
        <v>288</v>
      </c>
    </row>
    <row r="144" spans="1:7" ht="12" thickBot="1" x14ac:dyDescent="0.25">
      <c r="A144" s="33" t="s">
        <v>243</v>
      </c>
      <c r="C144" s="140">
        <f>SUM(C130:C143)</f>
        <v>215000</v>
      </c>
      <c r="D144" s="140">
        <f>SUM(D130:D143)</f>
        <v>0</v>
      </c>
      <c r="E144" s="140">
        <f>SUM(E130:E143)</f>
        <v>0</v>
      </c>
      <c r="F144" s="140">
        <f>SUM(F130:F143)</f>
        <v>0</v>
      </c>
      <c r="G144" s="140">
        <f>SUM(G130:G143)</f>
        <v>204927</v>
      </c>
    </row>
    <row r="145" spans="1:9" ht="12.75" thickTop="1" thickBot="1" x14ac:dyDescent="0.25">
      <c r="A145" s="33" t="s">
        <v>244</v>
      </c>
      <c r="C145" s="85">
        <f>(C115+C128+C144)</f>
        <v>15085501.299999999</v>
      </c>
      <c r="D145" s="85">
        <f>(D115+D128+D144)</f>
        <v>449129.22</v>
      </c>
      <c r="E145" s="85">
        <f>(E115+E128+E144)</f>
        <v>1346202.1</v>
      </c>
      <c r="F145" s="85">
        <f>(F115+F128+F144)</f>
        <v>0</v>
      </c>
      <c r="G145" s="85">
        <f>(G115+G128+G144)</f>
        <v>204927</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1">
        <f>'DOE25'!F491</f>
        <v>0</v>
      </c>
      <c r="C151" s="151">
        <f>'DOE25'!G491</f>
        <v>0</v>
      </c>
      <c r="D151" s="151">
        <f>'DOE25'!H491</f>
        <v>0</v>
      </c>
      <c r="E151" s="151">
        <f>'DOE25'!I491</f>
        <v>0</v>
      </c>
      <c r="F151" s="151">
        <f>'DOE25'!J491</f>
        <v>0</v>
      </c>
      <c r="G151" s="24" t="s">
        <v>288</v>
      </c>
    </row>
    <row r="152" spans="1:9" x14ac:dyDescent="0.2">
      <c r="A152" s="135" t="s">
        <v>28</v>
      </c>
      <c r="B152" s="150">
        <f>'DOE25'!F492</f>
        <v>0</v>
      </c>
      <c r="C152" s="150">
        <f>'DOE25'!G492</f>
        <v>0</v>
      </c>
      <c r="D152" s="150">
        <f>'DOE25'!H492</f>
        <v>0</v>
      </c>
      <c r="E152" s="150">
        <f>'DOE25'!I492</f>
        <v>0</v>
      </c>
      <c r="F152" s="150">
        <f>'DOE25'!J492</f>
        <v>0</v>
      </c>
      <c r="G152" s="24" t="s">
        <v>288</v>
      </c>
    </row>
    <row r="153" spans="1:9" x14ac:dyDescent="0.2">
      <c r="A153" s="135" t="s">
        <v>29</v>
      </c>
      <c r="B153" s="150">
        <f>'DOE25'!F493</f>
        <v>0</v>
      </c>
      <c r="C153" s="150">
        <f>'DOE25'!G493</f>
        <v>0</v>
      </c>
      <c r="D153" s="150">
        <f>'DOE25'!H493</f>
        <v>0</v>
      </c>
      <c r="E153" s="150">
        <f>'DOE25'!I493</f>
        <v>0</v>
      </c>
      <c r="F153" s="150">
        <f>'DOE25'!J493</f>
        <v>0</v>
      </c>
      <c r="G153" s="24" t="s">
        <v>288</v>
      </c>
    </row>
    <row r="154" spans="1:9" x14ac:dyDescent="0.2">
      <c r="A154" s="135" t="s">
        <v>30</v>
      </c>
      <c r="B154" s="136">
        <f>'DOE25'!F494</f>
        <v>0</v>
      </c>
      <c r="C154" s="136">
        <f>'DOE25'!G494</f>
        <v>0</v>
      </c>
      <c r="D154" s="136">
        <f>'DOE25'!H494</f>
        <v>0</v>
      </c>
      <c r="E154" s="136">
        <f>'DOE25'!I494</f>
        <v>0</v>
      </c>
      <c r="F154" s="136">
        <f>'DOE25'!J494</f>
        <v>0</v>
      </c>
      <c r="G154" s="24" t="s">
        <v>288</v>
      </c>
    </row>
    <row r="155" spans="1:9" x14ac:dyDescent="0.2">
      <c r="A155" s="135" t="s">
        <v>31</v>
      </c>
      <c r="B155" s="136">
        <f>'DOE25'!F495</f>
        <v>0</v>
      </c>
      <c r="C155" s="136">
        <f>'DOE25'!G495</f>
        <v>0</v>
      </c>
      <c r="D155" s="136">
        <f>'DOE25'!H495</f>
        <v>0</v>
      </c>
      <c r="E155" s="136">
        <f>'DOE25'!I495</f>
        <v>0</v>
      </c>
      <c r="F155" s="136">
        <f>'DOE25'!J495</f>
        <v>0</v>
      </c>
      <c r="G155" s="24" t="s">
        <v>288</v>
      </c>
    </row>
    <row r="156" spans="1:9" x14ac:dyDescent="0.2">
      <c r="A156" s="22" t="s">
        <v>32</v>
      </c>
      <c r="B156" s="136">
        <f>'DOE25'!F496</f>
        <v>0</v>
      </c>
      <c r="C156" s="136">
        <f>'DOE25'!G496</f>
        <v>0</v>
      </c>
      <c r="D156" s="136">
        <f>'DOE25'!H496</f>
        <v>0</v>
      </c>
      <c r="E156" s="136">
        <f>'DOE25'!I496</f>
        <v>0</v>
      </c>
      <c r="F156" s="136">
        <f>'DOE25'!J496</f>
        <v>0</v>
      </c>
      <c r="G156" s="137">
        <f>SUM(B156:F156)</f>
        <v>0</v>
      </c>
    </row>
    <row r="157" spans="1:9" x14ac:dyDescent="0.2">
      <c r="A157" s="22" t="s">
        <v>33</v>
      </c>
      <c r="B157" s="136">
        <f>'DOE25'!F497</f>
        <v>0</v>
      </c>
      <c r="C157" s="136">
        <f>'DOE25'!G497</f>
        <v>0</v>
      </c>
      <c r="D157" s="136">
        <f>'DOE25'!H497</f>
        <v>0</v>
      </c>
      <c r="E157" s="136">
        <f>'DOE25'!I497</f>
        <v>0</v>
      </c>
      <c r="F157" s="136">
        <f>'DOE25'!J497</f>
        <v>0</v>
      </c>
      <c r="G157" s="137">
        <f t="shared" ref="G157:G164" si="0">SUM(B157:F157)</f>
        <v>0</v>
      </c>
    </row>
    <row r="158" spans="1:9" x14ac:dyDescent="0.2">
      <c r="A158" s="22" t="s">
        <v>34</v>
      </c>
      <c r="B158" s="136">
        <f>'DOE25'!F498</f>
        <v>0</v>
      </c>
      <c r="C158" s="136">
        <f>'DOE25'!G498</f>
        <v>0</v>
      </c>
      <c r="D158" s="136">
        <f>'DOE25'!H498</f>
        <v>0</v>
      </c>
      <c r="E158" s="136">
        <f>'DOE25'!I498</f>
        <v>0</v>
      </c>
      <c r="F158" s="136">
        <f>'DOE25'!J498</f>
        <v>0</v>
      </c>
      <c r="G158" s="137">
        <f t="shared" si="0"/>
        <v>0</v>
      </c>
    </row>
    <row r="159" spans="1:9" x14ac:dyDescent="0.2">
      <c r="A159" s="22" t="s">
        <v>35</v>
      </c>
      <c r="B159" s="136">
        <f>'DOE25'!F499</f>
        <v>0</v>
      </c>
      <c r="C159" s="136">
        <f>'DOE25'!G499</f>
        <v>0</v>
      </c>
      <c r="D159" s="136">
        <f>'DOE25'!H499</f>
        <v>0</v>
      </c>
      <c r="E159" s="136">
        <f>'DOE25'!I499</f>
        <v>0</v>
      </c>
      <c r="F159" s="136">
        <f>'DOE25'!J499</f>
        <v>0</v>
      </c>
      <c r="G159" s="137">
        <f t="shared" si="0"/>
        <v>0</v>
      </c>
    </row>
    <row r="160" spans="1:9" x14ac:dyDescent="0.2">
      <c r="A160" s="22" t="s">
        <v>36</v>
      </c>
      <c r="B160" s="136">
        <f>'DOE25'!F500</f>
        <v>0</v>
      </c>
      <c r="C160" s="136">
        <f>'DOE25'!G500</f>
        <v>0</v>
      </c>
      <c r="D160" s="136">
        <f>'DOE25'!H500</f>
        <v>0</v>
      </c>
      <c r="E160" s="136">
        <f>'DOE25'!I500</f>
        <v>0</v>
      </c>
      <c r="F160" s="136">
        <f>'DOE25'!J500</f>
        <v>0</v>
      </c>
      <c r="G160" s="137">
        <f t="shared" si="0"/>
        <v>0</v>
      </c>
    </row>
    <row r="161" spans="1:7" x14ac:dyDescent="0.2">
      <c r="A161" s="22" t="s">
        <v>37</v>
      </c>
      <c r="B161" s="136">
        <f>'DOE25'!F501</f>
        <v>0</v>
      </c>
      <c r="C161" s="136">
        <f>'DOE25'!G501</f>
        <v>0</v>
      </c>
      <c r="D161" s="136">
        <f>'DOE25'!H501</f>
        <v>0</v>
      </c>
      <c r="E161" s="136">
        <f>'DOE25'!I501</f>
        <v>0</v>
      </c>
      <c r="F161" s="136">
        <f>'DOE25'!J501</f>
        <v>0</v>
      </c>
      <c r="G161" s="137">
        <f t="shared" si="0"/>
        <v>0</v>
      </c>
    </row>
    <row r="162" spans="1:7" x14ac:dyDescent="0.2">
      <c r="A162" s="22" t="s">
        <v>38</v>
      </c>
      <c r="B162" s="136">
        <f>'DOE25'!F502</f>
        <v>0</v>
      </c>
      <c r="C162" s="136">
        <f>'DOE25'!G502</f>
        <v>0</v>
      </c>
      <c r="D162" s="136">
        <f>'DOE25'!H502</f>
        <v>0</v>
      </c>
      <c r="E162" s="136">
        <f>'DOE25'!I502</f>
        <v>0</v>
      </c>
      <c r="F162" s="136">
        <f>'DOE25'!J502</f>
        <v>0</v>
      </c>
      <c r="G162" s="137">
        <f t="shared" si="0"/>
        <v>0</v>
      </c>
    </row>
    <row r="163" spans="1:7" x14ac:dyDescent="0.2">
      <c r="A163" s="22" t="s">
        <v>39</v>
      </c>
      <c r="B163" s="136">
        <f>'DOE25'!F503</f>
        <v>0</v>
      </c>
      <c r="C163" s="136">
        <f>'DOE25'!G503</f>
        <v>0</v>
      </c>
      <c r="D163" s="136">
        <f>'DOE25'!H503</f>
        <v>0</v>
      </c>
      <c r="E163" s="136">
        <f>'DOE25'!I503</f>
        <v>0</v>
      </c>
      <c r="F163" s="136">
        <f>'DOE25'!J503</f>
        <v>0</v>
      </c>
      <c r="G163" s="137">
        <f t="shared" si="0"/>
        <v>0</v>
      </c>
    </row>
    <row r="164" spans="1:7" x14ac:dyDescent="0.2">
      <c r="A164" s="22" t="s">
        <v>246</v>
      </c>
      <c r="B164" s="136">
        <f>'DOE25'!F504</f>
        <v>0</v>
      </c>
      <c r="C164" s="136">
        <f>'DOE25'!G504</f>
        <v>0</v>
      </c>
      <c r="D164" s="136">
        <f>'DOE25'!H504</f>
        <v>0</v>
      </c>
      <c r="E164" s="136">
        <f>'DOE25'!I504</f>
        <v>0</v>
      </c>
      <c r="F164" s="136">
        <f>'DOE25'!J504</f>
        <v>0</v>
      </c>
      <c r="G164" s="137">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1" t="s">
        <v>736</v>
      </c>
      <c r="B1" s="371"/>
      <c r="C1" s="371"/>
      <c r="D1" s="371"/>
    </row>
    <row r="2" spans="1:4" x14ac:dyDescent="0.2">
      <c r="A2" s="185" t="s">
        <v>713</v>
      </c>
      <c r="B2" s="184" t="str">
        <f>'DOE25'!A2</f>
        <v>Farmington</v>
      </c>
    </row>
    <row r="3" spans="1:4" x14ac:dyDescent="0.2">
      <c r="B3" s="186" t="s">
        <v>1666</v>
      </c>
    </row>
    <row r="4" spans="1:4" x14ac:dyDescent="0.2">
      <c r="B4" t="s">
        <v>61</v>
      </c>
      <c r="C4" s="177">
        <f>IF('DOE25'!F666+'DOE25'!F671=0,0,ROUND('DOE25'!F673,0))</f>
        <v>20049</v>
      </c>
    </row>
    <row r="5" spans="1:4" x14ac:dyDescent="0.2">
      <c r="B5" t="s">
        <v>700</v>
      </c>
      <c r="C5" s="177">
        <f>IF('DOE25'!G666+'DOE25'!G671=0,0,ROUND('DOE25'!G673,0))</f>
        <v>0</v>
      </c>
    </row>
    <row r="6" spans="1:4" x14ac:dyDescent="0.2">
      <c r="B6" t="s">
        <v>62</v>
      </c>
      <c r="C6" s="177">
        <f>IF('DOE25'!H666+'DOE25'!H671=0,0,ROUND('DOE25'!H673,0))</f>
        <v>19387</v>
      </c>
    </row>
    <row r="7" spans="1:4" x14ac:dyDescent="0.2">
      <c r="B7" t="s">
        <v>701</v>
      </c>
      <c r="C7" s="177">
        <f>IF('DOE25'!I666+'DOE25'!I671=0,0,ROUND('DOE25'!I673,0))</f>
        <v>19841</v>
      </c>
    </row>
    <row r="9" spans="1:4" x14ac:dyDescent="0.2">
      <c r="A9" s="185" t="s">
        <v>94</v>
      </c>
      <c r="B9" s="186" t="s">
        <v>1671</v>
      </c>
      <c r="C9" s="179" t="s">
        <v>720</v>
      </c>
      <c r="D9" s="179" t="s">
        <v>721</v>
      </c>
    </row>
    <row r="10" spans="1:4" x14ac:dyDescent="0.2">
      <c r="A10">
        <v>1100</v>
      </c>
      <c r="B10" t="s">
        <v>702</v>
      </c>
      <c r="C10" s="177">
        <f>ROUND('DOE25'!L198+'DOE25'!L216+'DOE25'!L234+'DOE25'!L277+'DOE25'!L296+'DOE25'!L315,0)</f>
        <v>5822136</v>
      </c>
      <c r="D10" s="180">
        <f>ROUND((C10/$C$28)*100,1)</f>
        <v>35</v>
      </c>
    </row>
    <row r="11" spans="1:4" x14ac:dyDescent="0.2">
      <c r="A11">
        <v>1200</v>
      </c>
      <c r="B11" t="s">
        <v>703</v>
      </c>
      <c r="C11" s="177">
        <f>ROUND('DOE25'!L199+'DOE25'!L217+'DOE25'!L235+'DOE25'!L278+'DOE25'!L297+'DOE25'!L316,0)</f>
        <v>3485537</v>
      </c>
      <c r="D11" s="180">
        <f>ROUND((C11/$C$28)*100,1)</f>
        <v>20.9</v>
      </c>
    </row>
    <row r="12" spans="1:4" x14ac:dyDescent="0.2">
      <c r="A12">
        <v>1300</v>
      </c>
      <c r="B12" t="s">
        <v>704</v>
      </c>
      <c r="C12" s="177">
        <f>ROUND('DOE25'!L200+'DOE25'!L218+'DOE25'!L236+'DOE25'!L279+'DOE25'!L298+'DOE25'!L317,0)</f>
        <v>31362</v>
      </c>
      <c r="D12" s="180">
        <f>ROUND((C12/$C$28)*100,1)</f>
        <v>0.2</v>
      </c>
    </row>
    <row r="13" spans="1:4" x14ac:dyDescent="0.2">
      <c r="A13">
        <v>1400</v>
      </c>
      <c r="B13" t="s">
        <v>705</v>
      </c>
      <c r="C13" s="177">
        <f>ROUND('DOE25'!L201+'DOE25'!L219+'DOE25'!L237+'DOE25'!L280+'DOE25'!L299+'DOE25'!L318,0)</f>
        <v>146913</v>
      </c>
      <c r="D13" s="180">
        <f>ROUND((C13/$C$28)*100,1)</f>
        <v>0.9</v>
      </c>
    </row>
    <row r="14" spans="1:4" x14ac:dyDescent="0.2">
      <c r="D14" s="180"/>
    </row>
    <row r="15" spans="1:4" x14ac:dyDescent="0.2">
      <c r="A15">
        <v>2100</v>
      </c>
      <c r="B15" t="s">
        <v>706</v>
      </c>
      <c r="C15" s="177">
        <f>ROUND('DOE25'!L203+'DOE25'!L221+'DOE25'!L239+'DOE25'!L282+'DOE25'!L301+'DOE25'!L320,0)</f>
        <v>1340106</v>
      </c>
      <c r="D15" s="180">
        <f t="shared" ref="D15:D27" si="0">ROUND((C15/$C$28)*100,1)</f>
        <v>8</v>
      </c>
    </row>
    <row r="16" spans="1:4" x14ac:dyDescent="0.2">
      <c r="A16">
        <v>2200</v>
      </c>
      <c r="B16" t="s">
        <v>707</v>
      </c>
      <c r="C16" s="177">
        <f>ROUND('DOE25'!L204+'DOE25'!L222+'DOE25'!L240+'DOE25'!L283+'DOE25'!L302+'DOE25'!L321,0)</f>
        <v>380053</v>
      </c>
      <c r="D16" s="180">
        <f t="shared" si="0"/>
        <v>2.2999999999999998</v>
      </c>
    </row>
    <row r="17" spans="1:4" x14ac:dyDescent="0.2">
      <c r="A17" s="181" t="s">
        <v>723</v>
      </c>
      <c r="B17" t="s">
        <v>738</v>
      </c>
      <c r="C17" s="177">
        <f>ROUND('DOE25'!L205+'DOE25'!L210+'DOE25'!L223+'DOE25'!L228+'DOE25'!L241+'DOE25'!L246+'DOE25'!L284+'DOE25'!L289+'DOE25'!L303+'DOE25'!L308+'DOE25'!L322+'DOE25'!L327,0)</f>
        <v>1590378</v>
      </c>
      <c r="D17" s="180">
        <f t="shared" si="0"/>
        <v>9.6</v>
      </c>
    </row>
    <row r="18" spans="1:4" x14ac:dyDescent="0.2">
      <c r="A18">
        <v>2400</v>
      </c>
      <c r="B18" t="s">
        <v>711</v>
      </c>
      <c r="C18" s="177">
        <f>ROUND('DOE25'!L206+'DOE25'!L224+'DOE25'!L242+'DOE25'!L285+'DOE25'!L304+'DOE25'!L323,0)</f>
        <v>915235</v>
      </c>
      <c r="D18" s="180">
        <f t="shared" si="0"/>
        <v>5.5</v>
      </c>
    </row>
    <row r="19" spans="1:4" x14ac:dyDescent="0.2">
      <c r="A19">
        <v>2500</v>
      </c>
      <c r="B19" t="s">
        <v>708</v>
      </c>
      <c r="C19" s="177">
        <f>ROUND('DOE25'!L207+'DOE25'!L225+'DOE25'!L243+'DOE25'!L286+'DOE25'!L305+'DOE25'!L324,0)</f>
        <v>42322</v>
      </c>
      <c r="D19" s="180">
        <f t="shared" si="0"/>
        <v>0.3</v>
      </c>
    </row>
    <row r="20" spans="1:4" x14ac:dyDescent="0.2">
      <c r="A20">
        <v>2600</v>
      </c>
      <c r="B20" t="s">
        <v>709</v>
      </c>
      <c r="C20" s="177">
        <f>ROUND('DOE25'!L208+'DOE25'!L226+'DOE25'!L244+'DOE25'!L287+'DOE25'!L306+'DOE25'!L325,0)</f>
        <v>1854926</v>
      </c>
      <c r="D20" s="180">
        <f t="shared" si="0"/>
        <v>11.1</v>
      </c>
    </row>
    <row r="21" spans="1:4" x14ac:dyDescent="0.2">
      <c r="A21">
        <v>2700</v>
      </c>
      <c r="B21" t="s">
        <v>710</v>
      </c>
      <c r="C21" s="177">
        <f>ROUND('DOE25'!L209+'DOE25'!L227+'DOE25'!L245+'DOE25'!L288+'DOE25'!L307+'DOE25'!L326,0)</f>
        <v>607736</v>
      </c>
      <c r="D21" s="180">
        <f t="shared" si="0"/>
        <v>3.7</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0</v>
      </c>
      <c r="D25" s="180">
        <f t="shared" si="0"/>
        <v>0</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432976.93</v>
      </c>
      <c r="D27" s="180">
        <f t="shared" si="0"/>
        <v>2.6</v>
      </c>
    </row>
    <row r="28" spans="1:4" x14ac:dyDescent="0.2">
      <c r="B28" s="185" t="s">
        <v>719</v>
      </c>
      <c r="C28" s="178">
        <f>SUM(C10:C27)</f>
        <v>16649680.93</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16649680.93</v>
      </c>
    </row>
    <row r="31" spans="1:4" x14ac:dyDescent="0.2">
      <c r="B31" s="33"/>
      <c r="C31" s="178"/>
    </row>
    <row r="32" spans="1:4" x14ac:dyDescent="0.2">
      <c r="A32">
        <v>5100</v>
      </c>
      <c r="B32" s="33" t="s">
        <v>726</v>
      </c>
      <c r="C32" s="178">
        <f>ROUND('DOE25'!L261+'DOE25'!L342,0)</f>
        <v>0</v>
      </c>
    </row>
    <row r="34" spans="1:4" x14ac:dyDescent="0.2">
      <c r="A34" s="185" t="s">
        <v>94</v>
      </c>
      <c r="B34" s="186" t="s">
        <v>1667</v>
      </c>
      <c r="C34" s="179" t="s">
        <v>720</v>
      </c>
      <c r="D34" s="179" t="s">
        <v>721</v>
      </c>
    </row>
    <row r="35" spans="1:4" x14ac:dyDescent="0.2">
      <c r="A35">
        <v>1100</v>
      </c>
      <c r="B35" s="183" t="s">
        <v>727</v>
      </c>
      <c r="C35" s="177">
        <f>ROUND('DOE25'!F60+'DOE25'!G60+'DOE25'!H60+'DOE25'!I60+'DOE25'!J60,0)</f>
        <v>6776740</v>
      </c>
      <c r="D35" s="180">
        <f t="shared" ref="D35:D40" si="1">ROUND((C35/$C$41)*100,1)</f>
        <v>40.9</v>
      </c>
    </row>
    <row r="36" spans="1:4" x14ac:dyDescent="0.2">
      <c r="B36" s="183" t="s">
        <v>739</v>
      </c>
      <c r="C36" s="177">
        <f>SUM('DOE25'!F112:J112)-SUM('DOE25'!G97:G110)+('DOE25'!F175+'DOE25'!F176+'DOE25'!I175+'DOE25'!I176)-C35</f>
        <v>12800.979999999516</v>
      </c>
      <c r="D36" s="180">
        <f t="shared" si="1"/>
        <v>0.1</v>
      </c>
    </row>
    <row r="37" spans="1:4" x14ac:dyDescent="0.2">
      <c r="A37" s="181" t="s">
        <v>835</v>
      </c>
      <c r="B37" s="183" t="s">
        <v>728</v>
      </c>
      <c r="C37" s="177">
        <f>ROUND('DOE25'!F117+'DOE25'!F118,0)</f>
        <v>7791131</v>
      </c>
      <c r="D37" s="180">
        <f t="shared" si="1"/>
        <v>47</v>
      </c>
    </row>
    <row r="38" spans="1:4" x14ac:dyDescent="0.2">
      <c r="A38" s="181" t="s">
        <v>734</v>
      </c>
      <c r="B38" s="183" t="s">
        <v>729</v>
      </c>
      <c r="C38" s="177">
        <f>ROUND(SUM('DOE25'!F140:J140)-SUM('DOE25'!F117:F119),0)</f>
        <v>265412</v>
      </c>
      <c r="D38" s="180">
        <f t="shared" si="1"/>
        <v>1.6</v>
      </c>
    </row>
    <row r="39" spans="1:4" x14ac:dyDescent="0.2">
      <c r="A39">
        <v>4000</v>
      </c>
      <c r="B39" s="183" t="s">
        <v>730</v>
      </c>
      <c r="C39" s="177">
        <f>ROUND('DOE25'!F170+'DOE25'!G170+'DOE25'!H170+'DOE25'!I170,0)</f>
        <v>1732051</v>
      </c>
      <c r="D39" s="180">
        <f t="shared" si="1"/>
        <v>10.4</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16578134.98</v>
      </c>
      <c r="D41" s="182">
        <f>SUM(D35:D40)</f>
        <v>100</v>
      </c>
    </row>
    <row r="42" spans="1:4" x14ac:dyDescent="0.2">
      <c r="A42" s="181" t="s">
        <v>737</v>
      </c>
      <c r="B42" s="183" t="s">
        <v>733</v>
      </c>
      <c r="C42" s="177">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82" t="s">
        <v>766</v>
      </c>
      <c r="B1" s="383"/>
      <c r="C1" s="383"/>
      <c r="D1" s="383"/>
      <c r="E1" s="383"/>
      <c r="F1" s="383"/>
      <c r="G1" s="383"/>
      <c r="H1" s="383"/>
      <c r="I1" s="383"/>
      <c r="J1" s="211"/>
      <c r="K1" s="211"/>
      <c r="L1" s="211"/>
      <c r="M1" s="212"/>
    </row>
    <row r="2" spans="1:26" ht="12.75" x14ac:dyDescent="0.2">
      <c r="A2" s="388" t="s">
        <v>763</v>
      </c>
      <c r="B2" s="389"/>
      <c r="C2" s="389"/>
      <c r="D2" s="389"/>
      <c r="E2" s="389"/>
      <c r="F2" s="386" t="str">
        <f>'DOE25'!A2</f>
        <v>Farmington</v>
      </c>
      <c r="G2" s="387"/>
      <c r="H2" s="387"/>
      <c r="I2" s="387"/>
      <c r="J2" s="52"/>
      <c r="K2" s="52"/>
      <c r="L2" s="52"/>
      <c r="M2" s="213"/>
    </row>
    <row r="3" spans="1:26" x14ac:dyDescent="0.2">
      <c r="A3" s="214" t="s">
        <v>764</v>
      </c>
      <c r="B3" s="215" t="s">
        <v>765</v>
      </c>
      <c r="C3" s="384" t="s">
        <v>767</v>
      </c>
      <c r="D3" s="384"/>
      <c r="E3" s="384"/>
      <c r="F3" s="384"/>
      <c r="G3" s="384"/>
      <c r="H3" s="384"/>
      <c r="I3" s="384"/>
      <c r="J3" s="384"/>
      <c r="K3" s="384"/>
      <c r="L3" s="384"/>
      <c r="M3" s="385"/>
    </row>
    <row r="4" spans="1:26" x14ac:dyDescent="0.2">
      <c r="A4" s="216">
        <v>19</v>
      </c>
      <c r="B4" s="217">
        <v>1</v>
      </c>
      <c r="C4" s="373" t="s">
        <v>1672</v>
      </c>
      <c r="D4" s="373"/>
      <c r="E4" s="373"/>
      <c r="F4" s="373"/>
      <c r="G4" s="373"/>
      <c r="H4" s="373"/>
      <c r="I4" s="373"/>
      <c r="J4" s="373"/>
      <c r="K4" s="373"/>
      <c r="L4" s="373"/>
      <c r="M4" s="374"/>
      <c r="N4" s="125"/>
      <c r="O4" s="125"/>
      <c r="P4" s="125"/>
      <c r="Q4" s="125"/>
      <c r="R4" s="125"/>
      <c r="S4" s="125"/>
      <c r="T4" s="125"/>
      <c r="U4" s="125"/>
      <c r="V4" s="125"/>
      <c r="W4" s="125"/>
      <c r="X4" s="125"/>
      <c r="Y4" s="125"/>
      <c r="Z4" s="125"/>
    </row>
    <row r="5" spans="1:26" x14ac:dyDescent="0.2">
      <c r="A5" s="216"/>
      <c r="B5" s="217"/>
      <c r="C5" s="373"/>
      <c r="D5" s="373"/>
      <c r="E5" s="373"/>
      <c r="F5" s="373"/>
      <c r="G5" s="373"/>
      <c r="H5" s="373"/>
      <c r="I5" s="373"/>
      <c r="J5" s="373"/>
      <c r="K5" s="373"/>
      <c r="L5" s="373"/>
      <c r="M5" s="374"/>
      <c r="N5" s="125"/>
      <c r="O5" s="125"/>
      <c r="P5" s="125"/>
      <c r="Q5" s="125"/>
      <c r="R5" s="125"/>
      <c r="S5" s="125"/>
      <c r="T5" s="125"/>
      <c r="U5" s="125"/>
      <c r="V5" s="125"/>
      <c r="W5" s="125"/>
      <c r="X5" s="125"/>
      <c r="Y5" s="125"/>
      <c r="Z5" s="125"/>
    </row>
    <row r="6" spans="1:26" x14ac:dyDescent="0.2">
      <c r="A6" s="216"/>
      <c r="B6" s="217"/>
      <c r="C6" s="373"/>
      <c r="D6" s="373"/>
      <c r="E6" s="373"/>
      <c r="F6" s="373"/>
      <c r="G6" s="373"/>
      <c r="H6" s="373"/>
      <c r="I6" s="373"/>
      <c r="J6" s="373"/>
      <c r="K6" s="373"/>
      <c r="L6" s="373"/>
      <c r="M6" s="374"/>
      <c r="N6" s="125"/>
      <c r="O6" s="125"/>
      <c r="P6" s="125"/>
      <c r="Q6" s="125"/>
      <c r="R6" s="125"/>
      <c r="S6" s="125"/>
      <c r="T6" s="125"/>
      <c r="U6" s="125"/>
      <c r="V6" s="125"/>
      <c r="W6" s="125"/>
      <c r="X6" s="125"/>
      <c r="Y6" s="125"/>
      <c r="Z6" s="125"/>
    </row>
    <row r="7" spans="1:26" x14ac:dyDescent="0.2">
      <c r="A7" s="216"/>
      <c r="B7" s="217"/>
      <c r="C7" s="373"/>
      <c r="D7" s="373"/>
      <c r="E7" s="373"/>
      <c r="F7" s="373"/>
      <c r="G7" s="373"/>
      <c r="H7" s="373"/>
      <c r="I7" s="373"/>
      <c r="J7" s="373"/>
      <c r="K7" s="373"/>
      <c r="L7" s="373"/>
      <c r="M7" s="374"/>
      <c r="N7" s="125"/>
      <c r="O7" s="125"/>
      <c r="P7" s="125"/>
      <c r="Q7" s="125"/>
      <c r="R7" s="125"/>
      <c r="S7" s="125"/>
      <c r="T7" s="125"/>
      <c r="U7" s="125"/>
      <c r="V7" s="125"/>
      <c r="W7" s="125"/>
      <c r="X7" s="125"/>
      <c r="Y7" s="125"/>
      <c r="Z7" s="125"/>
    </row>
    <row r="8" spans="1:26" x14ac:dyDescent="0.2">
      <c r="A8" s="216"/>
      <c r="B8" s="217"/>
      <c r="C8" s="373"/>
      <c r="D8" s="373"/>
      <c r="E8" s="373"/>
      <c r="F8" s="373"/>
      <c r="G8" s="373"/>
      <c r="H8" s="373"/>
      <c r="I8" s="373"/>
      <c r="J8" s="373"/>
      <c r="K8" s="373"/>
      <c r="L8" s="373"/>
      <c r="M8" s="374"/>
      <c r="N8" s="125"/>
      <c r="O8" s="125"/>
      <c r="P8" s="125"/>
      <c r="Q8" s="125"/>
      <c r="R8" s="125"/>
      <c r="S8" s="125"/>
      <c r="T8" s="125"/>
      <c r="U8" s="125"/>
      <c r="V8" s="125"/>
      <c r="W8" s="125"/>
      <c r="X8" s="125"/>
      <c r="Y8" s="125"/>
      <c r="Z8" s="125"/>
    </row>
    <row r="9" spans="1:26" x14ac:dyDescent="0.2">
      <c r="A9" s="216"/>
      <c r="B9" s="217"/>
      <c r="C9" s="373"/>
      <c r="D9" s="373"/>
      <c r="E9" s="373"/>
      <c r="F9" s="373"/>
      <c r="G9" s="373"/>
      <c r="H9" s="373"/>
      <c r="I9" s="373"/>
      <c r="J9" s="373"/>
      <c r="K9" s="373"/>
      <c r="L9" s="373"/>
      <c r="M9" s="374"/>
      <c r="N9" s="125"/>
      <c r="O9" s="125"/>
      <c r="P9" s="125"/>
      <c r="Q9" s="125"/>
      <c r="R9" s="125"/>
      <c r="S9" s="125"/>
      <c r="T9" s="125"/>
      <c r="U9" s="125"/>
      <c r="V9" s="125"/>
      <c r="W9" s="125"/>
      <c r="X9" s="125"/>
      <c r="Y9" s="125"/>
      <c r="Z9" s="125"/>
    </row>
    <row r="10" spans="1:26" x14ac:dyDescent="0.2">
      <c r="A10" s="216"/>
      <c r="B10" s="217"/>
      <c r="C10" s="373"/>
      <c r="D10" s="373"/>
      <c r="E10" s="373"/>
      <c r="F10" s="373"/>
      <c r="G10" s="373"/>
      <c r="H10" s="373"/>
      <c r="I10" s="373"/>
      <c r="J10" s="373"/>
      <c r="K10" s="373"/>
      <c r="L10" s="373"/>
      <c r="M10" s="374"/>
      <c r="N10" s="125"/>
      <c r="O10" s="125"/>
      <c r="P10" s="125"/>
      <c r="Q10" s="125"/>
      <c r="R10" s="125"/>
      <c r="S10" s="125"/>
      <c r="T10" s="125"/>
      <c r="U10" s="125"/>
      <c r="V10" s="125"/>
      <c r="W10" s="125"/>
      <c r="X10" s="125"/>
      <c r="Y10" s="125"/>
      <c r="Z10" s="125"/>
    </row>
    <row r="11" spans="1:26" x14ac:dyDescent="0.2">
      <c r="A11" s="216"/>
      <c r="B11" s="217"/>
      <c r="C11" s="373"/>
      <c r="D11" s="373"/>
      <c r="E11" s="373"/>
      <c r="F11" s="373"/>
      <c r="G11" s="373"/>
      <c r="H11" s="373"/>
      <c r="I11" s="373"/>
      <c r="J11" s="373"/>
      <c r="K11" s="373"/>
      <c r="L11" s="373"/>
      <c r="M11" s="374"/>
      <c r="N11" s="125"/>
      <c r="O11" s="125"/>
      <c r="P11" s="125"/>
      <c r="Q11" s="125"/>
      <c r="R11" s="125"/>
      <c r="S11" s="125"/>
      <c r="T11" s="125"/>
      <c r="U11" s="125"/>
      <c r="V11" s="125"/>
      <c r="W11" s="125"/>
      <c r="X11" s="125"/>
      <c r="Y11" s="125"/>
      <c r="Z11" s="125"/>
    </row>
    <row r="12" spans="1:26" x14ac:dyDescent="0.2">
      <c r="A12" s="216"/>
      <c r="B12" s="217"/>
      <c r="C12" s="373"/>
      <c r="D12" s="373"/>
      <c r="E12" s="373"/>
      <c r="F12" s="373"/>
      <c r="G12" s="373"/>
      <c r="H12" s="373"/>
      <c r="I12" s="373"/>
      <c r="J12" s="373"/>
      <c r="K12" s="373"/>
      <c r="L12" s="373"/>
      <c r="M12" s="374"/>
      <c r="N12" s="125"/>
      <c r="O12" s="125"/>
      <c r="P12" s="125"/>
      <c r="Q12" s="125"/>
      <c r="R12" s="125"/>
      <c r="S12" s="125"/>
      <c r="T12" s="125"/>
      <c r="U12" s="125"/>
      <c r="V12" s="125"/>
      <c r="W12" s="125"/>
      <c r="X12" s="125"/>
      <c r="Y12" s="125"/>
      <c r="Z12" s="125"/>
    </row>
    <row r="13" spans="1:26" x14ac:dyDescent="0.2">
      <c r="A13" s="216"/>
      <c r="B13" s="217"/>
      <c r="C13" s="373"/>
      <c r="D13" s="373"/>
      <c r="E13" s="373"/>
      <c r="F13" s="373"/>
      <c r="G13" s="373"/>
      <c r="H13" s="373"/>
      <c r="I13" s="373"/>
      <c r="J13" s="373"/>
      <c r="K13" s="373"/>
      <c r="L13" s="373"/>
      <c r="M13" s="374"/>
      <c r="N13" s="125"/>
      <c r="O13" s="125"/>
      <c r="P13" s="125"/>
      <c r="Q13" s="125"/>
      <c r="R13" s="125"/>
      <c r="S13" s="125"/>
      <c r="T13" s="125"/>
      <c r="U13" s="125"/>
      <c r="V13" s="125"/>
      <c r="W13" s="125"/>
      <c r="X13" s="125"/>
      <c r="Y13" s="125"/>
      <c r="Z13" s="125"/>
    </row>
    <row r="14" spans="1:26" x14ac:dyDescent="0.2">
      <c r="A14" s="216"/>
      <c r="B14" s="217"/>
      <c r="C14" s="373"/>
      <c r="D14" s="373"/>
      <c r="E14" s="373"/>
      <c r="F14" s="373"/>
      <c r="G14" s="373"/>
      <c r="H14" s="373"/>
      <c r="I14" s="373"/>
      <c r="J14" s="373"/>
      <c r="K14" s="373"/>
      <c r="L14" s="373"/>
      <c r="M14" s="374"/>
      <c r="N14" s="125"/>
      <c r="O14" s="125"/>
      <c r="P14" s="125"/>
      <c r="Q14" s="125"/>
      <c r="R14" s="125"/>
      <c r="S14" s="125"/>
      <c r="T14" s="125"/>
      <c r="U14" s="125"/>
      <c r="V14" s="125"/>
      <c r="W14" s="125"/>
      <c r="X14" s="125"/>
      <c r="Y14" s="125"/>
      <c r="Z14" s="125"/>
    </row>
    <row r="15" spans="1:26" x14ac:dyDescent="0.2">
      <c r="A15" s="216"/>
      <c r="B15" s="217"/>
      <c r="C15" s="373"/>
      <c r="D15" s="373"/>
      <c r="E15" s="373"/>
      <c r="F15" s="373"/>
      <c r="G15" s="373"/>
      <c r="H15" s="373"/>
      <c r="I15" s="373"/>
      <c r="J15" s="373"/>
      <c r="K15" s="373"/>
      <c r="L15" s="373"/>
      <c r="M15" s="374"/>
      <c r="N15" s="125"/>
      <c r="O15" s="125"/>
      <c r="P15" s="125"/>
      <c r="Q15" s="125"/>
      <c r="R15" s="125"/>
      <c r="S15" s="125"/>
      <c r="T15" s="125"/>
      <c r="U15" s="125"/>
      <c r="V15" s="125"/>
      <c r="W15" s="125"/>
      <c r="X15" s="125"/>
      <c r="Y15" s="125"/>
      <c r="Z15" s="125"/>
    </row>
    <row r="16" spans="1:26" x14ac:dyDescent="0.2">
      <c r="A16" s="216"/>
      <c r="B16" s="217"/>
      <c r="C16" s="373"/>
      <c r="D16" s="373"/>
      <c r="E16" s="373"/>
      <c r="F16" s="373"/>
      <c r="G16" s="373"/>
      <c r="H16" s="373"/>
      <c r="I16" s="373"/>
      <c r="J16" s="373"/>
      <c r="K16" s="373"/>
      <c r="L16" s="373"/>
      <c r="M16" s="374"/>
      <c r="N16" s="125"/>
      <c r="O16" s="125"/>
      <c r="P16" s="125"/>
      <c r="Q16" s="125"/>
      <c r="R16" s="125"/>
      <c r="S16" s="125"/>
      <c r="T16" s="125"/>
      <c r="U16" s="125"/>
      <c r="V16" s="125"/>
      <c r="W16" s="125"/>
      <c r="X16" s="125"/>
      <c r="Y16" s="125"/>
      <c r="Z16" s="125"/>
    </row>
    <row r="17" spans="1:256" x14ac:dyDescent="0.2">
      <c r="A17" s="216"/>
      <c r="B17" s="217"/>
      <c r="C17" s="373"/>
      <c r="D17" s="373"/>
      <c r="E17" s="373"/>
      <c r="F17" s="373"/>
      <c r="G17" s="373"/>
      <c r="H17" s="373"/>
      <c r="I17" s="373"/>
      <c r="J17" s="373"/>
      <c r="K17" s="373"/>
      <c r="L17" s="373"/>
      <c r="M17" s="374"/>
      <c r="N17" s="125"/>
      <c r="O17" s="125"/>
      <c r="P17" s="125"/>
      <c r="Q17" s="125"/>
      <c r="R17" s="125"/>
      <c r="S17" s="125"/>
      <c r="T17" s="125"/>
      <c r="U17" s="125"/>
      <c r="V17" s="125"/>
      <c r="W17" s="125"/>
      <c r="X17" s="125"/>
      <c r="Y17" s="125"/>
      <c r="Z17" s="125"/>
    </row>
    <row r="18" spans="1:256" x14ac:dyDescent="0.2">
      <c r="A18" s="216"/>
      <c r="B18" s="217"/>
      <c r="C18" s="373"/>
      <c r="D18" s="373"/>
      <c r="E18" s="373"/>
      <c r="F18" s="373"/>
      <c r="G18" s="373"/>
      <c r="H18" s="373"/>
      <c r="I18" s="373"/>
      <c r="J18" s="373"/>
      <c r="K18" s="373"/>
      <c r="L18" s="373"/>
      <c r="M18" s="374"/>
      <c r="N18" s="125"/>
      <c r="O18" s="125"/>
      <c r="P18" s="125"/>
      <c r="Q18" s="125"/>
      <c r="R18" s="125"/>
      <c r="S18" s="125"/>
      <c r="T18" s="125"/>
      <c r="U18" s="125"/>
      <c r="V18" s="125"/>
      <c r="W18" s="125"/>
      <c r="X18" s="125"/>
      <c r="Y18" s="125"/>
      <c r="Z18" s="125"/>
    </row>
    <row r="19" spans="1:256" x14ac:dyDescent="0.2">
      <c r="A19" s="216"/>
      <c r="B19" s="217"/>
      <c r="C19" s="373"/>
      <c r="D19" s="373"/>
      <c r="E19" s="373"/>
      <c r="F19" s="373"/>
      <c r="G19" s="373"/>
      <c r="H19" s="373"/>
      <c r="I19" s="373"/>
      <c r="J19" s="373"/>
      <c r="K19" s="373"/>
      <c r="L19" s="373"/>
      <c r="M19" s="374"/>
      <c r="N19" s="125"/>
      <c r="O19" s="125"/>
      <c r="P19" s="125"/>
      <c r="Q19" s="125"/>
      <c r="R19" s="125"/>
      <c r="S19" s="125"/>
      <c r="T19" s="125"/>
      <c r="U19" s="125"/>
      <c r="V19" s="125"/>
      <c r="W19" s="125"/>
      <c r="X19" s="125"/>
      <c r="Y19" s="125"/>
      <c r="Z19" s="125"/>
    </row>
    <row r="20" spans="1:256" x14ac:dyDescent="0.2">
      <c r="A20" s="216"/>
      <c r="B20" s="217"/>
      <c r="C20" s="373"/>
      <c r="D20" s="373"/>
      <c r="E20" s="373"/>
      <c r="F20" s="373"/>
      <c r="G20" s="373"/>
      <c r="H20" s="373"/>
      <c r="I20" s="373"/>
      <c r="J20" s="373"/>
      <c r="K20" s="373"/>
      <c r="L20" s="373"/>
      <c r="M20" s="374"/>
      <c r="N20" s="125"/>
      <c r="O20" s="125"/>
      <c r="P20" s="125"/>
      <c r="Q20" s="125"/>
      <c r="R20" s="125"/>
      <c r="S20" s="125"/>
      <c r="T20" s="125"/>
      <c r="U20" s="125"/>
      <c r="V20" s="125"/>
      <c r="W20" s="125"/>
      <c r="X20" s="125"/>
      <c r="Y20" s="125"/>
      <c r="Z20" s="125"/>
    </row>
    <row r="21" spans="1:256" x14ac:dyDescent="0.2">
      <c r="A21" s="216"/>
      <c r="B21" s="217"/>
      <c r="C21" s="373"/>
      <c r="D21" s="373"/>
      <c r="E21" s="373"/>
      <c r="F21" s="373"/>
      <c r="G21" s="373"/>
      <c r="H21" s="373"/>
      <c r="I21" s="373"/>
      <c r="J21" s="373"/>
      <c r="K21" s="373"/>
      <c r="L21" s="373"/>
      <c r="M21" s="374"/>
      <c r="N21" s="125"/>
      <c r="O21" s="125"/>
      <c r="P21" s="125"/>
      <c r="Q21" s="125"/>
      <c r="R21" s="125"/>
      <c r="S21" s="125"/>
      <c r="T21" s="125"/>
      <c r="U21" s="125"/>
      <c r="V21" s="125"/>
      <c r="W21" s="125"/>
      <c r="X21" s="125"/>
      <c r="Y21" s="125"/>
      <c r="Z21" s="125"/>
    </row>
    <row r="22" spans="1:256" x14ac:dyDescent="0.2">
      <c r="A22" s="216"/>
      <c r="B22" s="217"/>
      <c r="C22" s="373"/>
      <c r="D22" s="373"/>
      <c r="E22" s="373"/>
      <c r="F22" s="373"/>
      <c r="G22" s="373"/>
      <c r="H22" s="373"/>
      <c r="I22" s="373"/>
      <c r="J22" s="373"/>
      <c r="K22" s="373"/>
      <c r="L22" s="373"/>
      <c r="M22" s="374"/>
      <c r="N22" s="125"/>
      <c r="O22" s="125"/>
      <c r="P22" s="125"/>
      <c r="Q22" s="125"/>
      <c r="R22" s="125"/>
      <c r="S22" s="125"/>
      <c r="T22" s="125"/>
      <c r="U22" s="125"/>
      <c r="V22" s="125"/>
      <c r="W22" s="125"/>
      <c r="X22" s="125"/>
      <c r="Y22" s="125"/>
      <c r="Z22" s="125"/>
    </row>
    <row r="23" spans="1:256" x14ac:dyDescent="0.2">
      <c r="A23" s="216"/>
      <c r="B23" s="217"/>
      <c r="C23" s="373"/>
      <c r="D23" s="373"/>
      <c r="E23" s="373"/>
      <c r="F23" s="373"/>
      <c r="G23" s="373"/>
      <c r="H23" s="373"/>
      <c r="I23" s="373"/>
      <c r="J23" s="373"/>
      <c r="K23" s="373"/>
      <c r="L23" s="373"/>
      <c r="M23" s="374"/>
      <c r="N23" s="125"/>
      <c r="O23" s="125"/>
      <c r="P23" s="125"/>
      <c r="Q23" s="125"/>
      <c r="R23" s="125"/>
      <c r="S23" s="125"/>
      <c r="T23" s="125"/>
      <c r="U23" s="125"/>
      <c r="V23" s="125"/>
      <c r="W23" s="125"/>
      <c r="X23" s="125"/>
      <c r="Y23" s="125"/>
      <c r="Z23" s="125"/>
    </row>
    <row r="24" spans="1:256" x14ac:dyDescent="0.2">
      <c r="A24" s="216"/>
      <c r="B24" s="217"/>
      <c r="C24" s="373"/>
      <c r="D24" s="373"/>
      <c r="E24" s="373"/>
      <c r="F24" s="373"/>
      <c r="G24" s="373"/>
      <c r="H24" s="373"/>
      <c r="I24" s="373"/>
      <c r="J24" s="373"/>
      <c r="K24" s="373"/>
      <c r="L24" s="373"/>
      <c r="M24" s="374"/>
      <c r="N24" s="125"/>
      <c r="O24" s="125"/>
      <c r="P24" s="125"/>
      <c r="Q24" s="125"/>
      <c r="R24" s="125"/>
      <c r="S24" s="125"/>
      <c r="T24" s="125"/>
      <c r="U24" s="125"/>
      <c r="V24" s="125"/>
      <c r="W24" s="125"/>
      <c r="X24" s="125"/>
      <c r="Y24" s="125"/>
      <c r="Z24" s="125"/>
    </row>
    <row r="25" spans="1:256" x14ac:dyDescent="0.2">
      <c r="A25" s="216"/>
      <c r="B25" s="217"/>
      <c r="C25" s="373"/>
      <c r="D25" s="373"/>
      <c r="E25" s="373"/>
      <c r="F25" s="373"/>
      <c r="G25" s="373"/>
      <c r="H25" s="373"/>
      <c r="I25" s="373"/>
      <c r="J25" s="373"/>
      <c r="K25" s="373"/>
      <c r="L25" s="373"/>
      <c r="M25" s="374"/>
      <c r="N25" s="125"/>
      <c r="O25" s="125"/>
      <c r="P25" s="125"/>
      <c r="Q25" s="125"/>
      <c r="R25" s="125"/>
      <c r="S25" s="125"/>
      <c r="T25" s="125"/>
      <c r="U25" s="125"/>
      <c r="V25" s="125"/>
      <c r="W25" s="125"/>
      <c r="X25" s="125"/>
      <c r="Y25" s="125"/>
      <c r="Z25" s="125"/>
    </row>
    <row r="26" spans="1:256" x14ac:dyDescent="0.2">
      <c r="A26" s="216"/>
      <c r="B26" s="217"/>
      <c r="C26" s="373"/>
      <c r="D26" s="373"/>
      <c r="E26" s="373"/>
      <c r="F26" s="373"/>
      <c r="G26" s="373"/>
      <c r="H26" s="373"/>
      <c r="I26" s="373"/>
      <c r="J26" s="373"/>
      <c r="K26" s="373"/>
      <c r="L26" s="373"/>
      <c r="M26" s="374"/>
      <c r="N26" s="125"/>
      <c r="O26" s="125"/>
      <c r="P26" s="125"/>
      <c r="Q26" s="125"/>
      <c r="R26" s="125"/>
      <c r="S26" s="125"/>
      <c r="T26" s="125"/>
      <c r="U26" s="125"/>
      <c r="V26" s="125"/>
      <c r="W26" s="125"/>
      <c r="X26" s="125"/>
      <c r="Y26" s="125"/>
      <c r="Z26" s="125"/>
    </row>
    <row r="27" spans="1:256" x14ac:dyDescent="0.2">
      <c r="A27" s="216"/>
      <c r="B27" s="217"/>
      <c r="C27" s="373"/>
      <c r="D27" s="373"/>
      <c r="E27" s="373"/>
      <c r="F27" s="373"/>
      <c r="G27" s="373"/>
      <c r="H27" s="373"/>
      <c r="I27" s="373"/>
      <c r="J27" s="373"/>
      <c r="K27" s="373"/>
      <c r="L27" s="373"/>
      <c r="M27" s="374"/>
      <c r="N27" s="125"/>
      <c r="O27" s="125"/>
      <c r="P27" s="125"/>
      <c r="Q27" s="125"/>
      <c r="R27" s="125"/>
      <c r="S27" s="125"/>
      <c r="T27" s="125"/>
      <c r="U27" s="125"/>
      <c r="V27" s="125"/>
      <c r="W27" s="125"/>
      <c r="X27" s="125"/>
      <c r="Y27" s="125"/>
      <c r="Z27" s="125"/>
    </row>
    <row r="28" spans="1:256" x14ac:dyDescent="0.2">
      <c r="A28" s="216"/>
      <c r="B28" s="217"/>
      <c r="C28" s="373"/>
      <c r="D28" s="373"/>
      <c r="E28" s="373"/>
      <c r="F28" s="373"/>
      <c r="G28" s="373"/>
      <c r="H28" s="373"/>
      <c r="I28" s="373"/>
      <c r="J28" s="373"/>
      <c r="K28" s="373"/>
      <c r="L28" s="373"/>
      <c r="M28" s="374"/>
      <c r="N28" s="125"/>
      <c r="O28" s="125"/>
      <c r="P28" s="125"/>
      <c r="Q28" s="125"/>
      <c r="R28" s="125"/>
      <c r="S28" s="125"/>
      <c r="T28" s="125"/>
      <c r="U28" s="125"/>
      <c r="V28" s="125"/>
      <c r="W28" s="125"/>
      <c r="X28" s="125"/>
      <c r="Y28" s="125"/>
      <c r="Z28" s="125"/>
    </row>
    <row r="29" spans="1:256" x14ac:dyDescent="0.2">
      <c r="A29" s="216"/>
      <c r="B29" s="217"/>
      <c r="C29" s="373"/>
      <c r="D29" s="373"/>
      <c r="E29" s="373"/>
      <c r="F29" s="373"/>
      <c r="G29" s="373"/>
      <c r="H29" s="373"/>
      <c r="I29" s="373"/>
      <c r="J29" s="373"/>
      <c r="K29" s="373"/>
      <c r="L29" s="373"/>
      <c r="M29" s="374"/>
      <c r="N29" s="209"/>
      <c r="O29" s="209"/>
      <c r="P29" s="379"/>
      <c r="Q29" s="379"/>
      <c r="R29" s="379"/>
      <c r="S29" s="379"/>
      <c r="T29" s="379"/>
      <c r="U29" s="379"/>
      <c r="V29" s="379"/>
      <c r="W29" s="379"/>
      <c r="X29" s="379"/>
      <c r="Y29" s="379"/>
      <c r="Z29" s="379"/>
      <c r="AA29" s="205"/>
      <c r="AB29" s="205"/>
      <c r="AC29" s="378"/>
      <c r="AD29" s="378"/>
      <c r="AE29" s="378"/>
      <c r="AF29" s="378"/>
      <c r="AG29" s="378"/>
      <c r="AH29" s="378"/>
      <c r="AI29" s="378"/>
      <c r="AJ29" s="378"/>
      <c r="AK29" s="378"/>
      <c r="AL29" s="378"/>
      <c r="AM29" s="378"/>
      <c r="AN29" s="205"/>
      <c r="AO29" s="205"/>
      <c r="AP29" s="378"/>
      <c r="AQ29" s="378"/>
      <c r="AR29" s="378"/>
      <c r="AS29" s="378"/>
      <c r="AT29" s="378"/>
      <c r="AU29" s="378"/>
      <c r="AV29" s="378"/>
      <c r="AW29" s="378"/>
      <c r="AX29" s="378"/>
      <c r="AY29" s="378"/>
      <c r="AZ29" s="378"/>
      <c r="BA29" s="205"/>
      <c r="BB29" s="205"/>
      <c r="BC29" s="378"/>
      <c r="BD29" s="378"/>
      <c r="BE29" s="378"/>
      <c r="BF29" s="378"/>
      <c r="BG29" s="378"/>
      <c r="BH29" s="378"/>
      <c r="BI29" s="378"/>
      <c r="BJ29" s="378"/>
      <c r="BK29" s="378"/>
      <c r="BL29" s="378"/>
      <c r="BM29" s="378"/>
      <c r="BN29" s="205"/>
      <c r="BO29" s="205"/>
      <c r="BP29" s="378"/>
      <c r="BQ29" s="378"/>
      <c r="BR29" s="378"/>
      <c r="BS29" s="378"/>
      <c r="BT29" s="378"/>
      <c r="BU29" s="378"/>
      <c r="BV29" s="378"/>
      <c r="BW29" s="378"/>
      <c r="BX29" s="378"/>
      <c r="BY29" s="378"/>
      <c r="BZ29" s="378"/>
      <c r="CA29" s="205"/>
      <c r="CB29" s="205"/>
      <c r="CC29" s="378"/>
      <c r="CD29" s="378"/>
      <c r="CE29" s="378"/>
      <c r="CF29" s="378"/>
      <c r="CG29" s="378"/>
      <c r="CH29" s="378"/>
      <c r="CI29" s="378"/>
      <c r="CJ29" s="378"/>
      <c r="CK29" s="378"/>
      <c r="CL29" s="378"/>
      <c r="CM29" s="378"/>
      <c r="CN29" s="205"/>
      <c r="CO29" s="205"/>
      <c r="CP29" s="378"/>
      <c r="CQ29" s="378"/>
      <c r="CR29" s="378"/>
      <c r="CS29" s="378"/>
      <c r="CT29" s="378"/>
      <c r="CU29" s="378"/>
      <c r="CV29" s="378"/>
      <c r="CW29" s="378"/>
      <c r="CX29" s="378"/>
      <c r="CY29" s="378"/>
      <c r="CZ29" s="378"/>
      <c r="DA29" s="205"/>
      <c r="DB29" s="205"/>
      <c r="DC29" s="378"/>
      <c r="DD29" s="378"/>
      <c r="DE29" s="378"/>
      <c r="DF29" s="378"/>
      <c r="DG29" s="378"/>
      <c r="DH29" s="378"/>
      <c r="DI29" s="378"/>
      <c r="DJ29" s="378"/>
      <c r="DK29" s="378"/>
      <c r="DL29" s="378"/>
      <c r="DM29" s="378"/>
      <c r="DN29" s="205"/>
      <c r="DO29" s="205"/>
      <c r="DP29" s="378"/>
      <c r="DQ29" s="378"/>
      <c r="DR29" s="378"/>
      <c r="DS29" s="378"/>
      <c r="DT29" s="378"/>
      <c r="DU29" s="378"/>
      <c r="DV29" s="378"/>
      <c r="DW29" s="378"/>
      <c r="DX29" s="378"/>
      <c r="DY29" s="378"/>
      <c r="DZ29" s="378"/>
      <c r="EA29" s="205"/>
      <c r="EB29" s="205"/>
      <c r="EC29" s="378"/>
      <c r="ED29" s="378"/>
      <c r="EE29" s="378"/>
      <c r="EF29" s="378"/>
      <c r="EG29" s="378"/>
      <c r="EH29" s="378"/>
      <c r="EI29" s="378"/>
      <c r="EJ29" s="378"/>
      <c r="EK29" s="378"/>
      <c r="EL29" s="378"/>
      <c r="EM29" s="378"/>
      <c r="EN29" s="205"/>
      <c r="EO29" s="205"/>
      <c r="EP29" s="378"/>
      <c r="EQ29" s="378"/>
      <c r="ER29" s="378"/>
      <c r="ES29" s="378"/>
      <c r="ET29" s="378"/>
      <c r="EU29" s="378"/>
      <c r="EV29" s="378"/>
      <c r="EW29" s="378"/>
      <c r="EX29" s="378"/>
      <c r="EY29" s="378"/>
      <c r="EZ29" s="378"/>
      <c r="FA29" s="205"/>
      <c r="FB29" s="205"/>
      <c r="FC29" s="378"/>
      <c r="FD29" s="378"/>
      <c r="FE29" s="378"/>
      <c r="FF29" s="378"/>
      <c r="FG29" s="378"/>
      <c r="FH29" s="378"/>
      <c r="FI29" s="378"/>
      <c r="FJ29" s="378"/>
      <c r="FK29" s="378"/>
      <c r="FL29" s="378"/>
      <c r="FM29" s="378"/>
      <c r="FN29" s="205"/>
      <c r="FO29" s="205"/>
      <c r="FP29" s="378"/>
      <c r="FQ29" s="378"/>
      <c r="FR29" s="378"/>
      <c r="FS29" s="378"/>
      <c r="FT29" s="378"/>
      <c r="FU29" s="378"/>
      <c r="FV29" s="378"/>
      <c r="FW29" s="378"/>
      <c r="FX29" s="378"/>
      <c r="FY29" s="378"/>
      <c r="FZ29" s="378"/>
      <c r="GA29" s="205"/>
      <c r="GB29" s="205"/>
      <c r="GC29" s="378"/>
      <c r="GD29" s="378"/>
      <c r="GE29" s="378"/>
      <c r="GF29" s="378"/>
      <c r="GG29" s="378"/>
      <c r="GH29" s="378"/>
      <c r="GI29" s="378"/>
      <c r="GJ29" s="378"/>
      <c r="GK29" s="378"/>
      <c r="GL29" s="378"/>
      <c r="GM29" s="378"/>
      <c r="GN29" s="205"/>
      <c r="GO29" s="205"/>
      <c r="GP29" s="378"/>
      <c r="GQ29" s="378"/>
      <c r="GR29" s="378"/>
      <c r="GS29" s="378"/>
      <c r="GT29" s="378"/>
      <c r="GU29" s="378"/>
      <c r="GV29" s="378"/>
      <c r="GW29" s="378"/>
      <c r="GX29" s="378"/>
      <c r="GY29" s="378"/>
      <c r="GZ29" s="378"/>
      <c r="HA29" s="205"/>
      <c r="HB29" s="205"/>
      <c r="HC29" s="378"/>
      <c r="HD29" s="378"/>
      <c r="HE29" s="378"/>
      <c r="HF29" s="378"/>
      <c r="HG29" s="378"/>
      <c r="HH29" s="378"/>
      <c r="HI29" s="378"/>
      <c r="HJ29" s="378"/>
      <c r="HK29" s="378"/>
      <c r="HL29" s="378"/>
      <c r="HM29" s="378"/>
      <c r="HN29" s="205"/>
      <c r="HO29" s="205"/>
      <c r="HP29" s="378"/>
      <c r="HQ29" s="378"/>
      <c r="HR29" s="378"/>
      <c r="HS29" s="378"/>
      <c r="HT29" s="378"/>
      <c r="HU29" s="378"/>
      <c r="HV29" s="378"/>
      <c r="HW29" s="378"/>
      <c r="HX29" s="378"/>
      <c r="HY29" s="378"/>
      <c r="HZ29" s="378"/>
      <c r="IA29" s="205"/>
      <c r="IB29" s="205"/>
      <c r="IC29" s="378"/>
      <c r="ID29" s="378"/>
      <c r="IE29" s="378"/>
      <c r="IF29" s="378"/>
      <c r="IG29" s="378"/>
      <c r="IH29" s="378"/>
      <c r="II29" s="378"/>
      <c r="IJ29" s="378"/>
      <c r="IK29" s="378"/>
      <c r="IL29" s="378"/>
      <c r="IM29" s="378"/>
      <c r="IN29" s="205"/>
      <c r="IO29" s="205"/>
      <c r="IP29" s="378"/>
      <c r="IQ29" s="378"/>
      <c r="IR29" s="378"/>
      <c r="IS29" s="378"/>
      <c r="IT29" s="378"/>
      <c r="IU29" s="378"/>
      <c r="IV29" s="378"/>
    </row>
    <row r="30" spans="1:256" x14ac:dyDescent="0.2">
      <c r="A30" s="216"/>
      <c r="B30" s="217"/>
      <c r="C30" s="373"/>
      <c r="D30" s="373"/>
      <c r="E30" s="373"/>
      <c r="F30" s="373"/>
      <c r="G30" s="373"/>
      <c r="H30" s="373"/>
      <c r="I30" s="373"/>
      <c r="J30" s="373"/>
      <c r="K30" s="373"/>
      <c r="L30" s="373"/>
      <c r="M30" s="374"/>
      <c r="N30" s="209"/>
      <c r="O30" s="209"/>
      <c r="P30" s="379"/>
      <c r="Q30" s="379"/>
      <c r="R30" s="379"/>
      <c r="S30" s="379"/>
      <c r="T30" s="379"/>
      <c r="U30" s="379"/>
      <c r="V30" s="379"/>
      <c r="W30" s="379"/>
      <c r="X30" s="379"/>
      <c r="Y30" s="379"/>
      <c r="Z30" s="379"/>
      <c r="AA30" s="205"/>
      <c r="AB30" s="205"/>
      <c r="AC30" s="378"/>
      <c r="AD30" s="378"/>
      <c r="AE30" s="378"/>
      <c r="AF30" s="378"/>
      <c r="AG30" s="378"/>
      <c r="AH30" s="378"/>
      <c r="AI30" s="378"/>
      <c r="AJ30" s="378"/>
      <c r="AK30" s="378"/>
      <c r="AL30" s="378"/>
      <c r="AM30" s="378"/>
      <c r="AN30" s="205"/>
      <c r="AO30" s="205"/>
      <c r="AP30" s="378"/>
      <c r="AQ30" s="378"/>
      <c r="AR30" s="378"/>
      <c r="AS30" s="378"/>
      <c r="AT30" s="378"/>
      <c r="AU30" s="378"/>
      <c r="AV30" s="378"/>
      <c r="AW30" s="378"/>
      <c r="AX30" s="378"/>
      <c r="AY30" s="378"/>
      <c r="AZ30" s="378"/>
      <c r="BA30" s="205"/>
      <c r="BB30" s="205"/>
      <c r="BC30" s="378"/>
      <c r="BD30" s="378"/>
      <c r="BE30" s="378"/>
      <c r="BF30" s="378"/>
      <c r="BG30" s="378"/>
      <c r="BH30" s="378"/>
      <c r="BI30" s="378"/>
      <c r="BJ30" s="378"/>
      <c r="BK30" s="378"/>
      <c r="BL30" s="378"/>
      <c r="BM30" s="378"/>
      <c r="BN30" s="205"/>
      <c r="BO30" s="205"/>
      <c r="BP30" s="378"/>
      <c r="BQ30" s="378"/>
      <c r="BR30" s="378"/>
      <c r="BS30" s="378"/>
      <c r="BT30" s="378"/>
      <c r="BU30" s="378"/>
      <c r="BV30" s="378"/>
      <c r="BW30" s="378"/>
      <c r="BX30" s="378"/>
      <c r="BY30" s="378"/>
      <c r="BZ30" s="378"/>
      <c r="CA30" s="205"/>
      <c r="CB30" s="205"/>
      <c r="CC30" s="378"/>
      <c r="CD30" s="378"/>
      <c r="CE30" s="378"/>
      <c r="CF30" s="378"/>
      <c r="CG30" s="378"/>
      <c r="CH30" s="378"/>
      <c r="CI30" s="378"/>
      <c r="CJ30" s="378"/>
      <c r="CK30" s="378"/>
      <c r="CL30" s="378"/>
      <c r="CM30" s="378"/>
      <c r="CN30" s="205"/>
      <c r="CO30" s="205"/>
      <c r="CP30" s="378"/>
      <c r="CQ30" s="378"/>
      <c r="CR30" s="378"/>
      <c r="CS30" s="378"/>
      <c r="CT30" s="378"/>
      <c r="CU30" s="378"/>
      <c r="CV30" s="378"/>
      <c r="CW30" s="378"/>
      <c r="CX30" s="378"/>
      <c r="CY30" s="378"/>
      <c r="CZ30" s="378"/>
      <c r="DA30" s="205"/>
      <c r="DB30" s="205"/>
      <c r="DC30" s="378"/>
      <c r="DD30" s="378"/>
      <c r="DE30" s="378"/>
      <c r="DF30" s="378"/>
      <c r="DG30" s="378"/>
      <c r="DH30" s="378"/>
      <c r="DI30" s="378"/>
      <c r="DJ30" s="378"/>
      <c r="DK30" s="378"/>
      <c r="DL30" s="378"/>
      <c r="DM30" s="378"/>
      <c r="DN30" s="205"/>
      <c r="DO30" s="205"/>
      <c r="DP30" s="378"/>
      <c r="DQ30" s="378"/>
      <c r="DR30" s="378"/>
      <c r="DS30" s="378"/>
      <c r="DT30" s="378"/>
      <c r="DU30" s="378"/>
      <c r="DV30" s="378"/>
      <c r="DW30" s="378"/>
      <c r="DX30" s="378"/>
      <c r="DY30" s="378"/>
      <c r="DZ30" s="378"/>
      <c r="EA30" s="205"/>
      <c r="EB30" s="205"/>
      <c r="EC30" s="378"/>
      <c r="ED30" s="378"/>
      <c r="EE30" s="378"/>
      <c r="EF30" s="378"/>
      <c r="EG30" s="378"/>
      <c r="EH30" s="378"/>
      <c r="EI30" s="378"/>
      <c r="EJ30" s="378"/>
      <c r="EK30" s="378"/>
      <c r="EL30" s="378"/>
      <c r="EM30" s="378"/>
      <c r="EN30" s="205"/>
      <c r="EO30" s="205"/>
      <c r="EP30" s="378"/>
      <c r="EQ30" s="378"/>
      <c r="ER30" s="378"/>
      <c r="ES30" s="378"/>
      <c r="ET30" s="378"/>
      <c r="EU30" s="378"/>
      <c r="EV30" s="378"/>
      <c r="EW30" s="378"/>
      <c r="EX30" s="378"/>
      <c r="EY30" s="378"/>
      <c r="EZ30" s="378"/>
      <c r="FA30" s="205"/>
      <c r="FB30" s="205"/>
      <c r="FC30" s="378"/>
      <c r="FD30" s="378"/>
      <c r="FE30" s="378"/>
      <c r="FF30" s="378"/>
      <c r="FG30" s="378"/>
      <c r="FH30" s="378"/>
      <c r="FI30" s="378"/>
      <c r="FJ30" s="378"/>
      <c r="FK30" s="378"/>
      <c r="FL30" s="378"/>
      <c r="FM30" s="378"/>
      <c r="FN30" s="205"/>
      <c r="FO30" s="205"/>
      <c r="FP30" s="378"/>
      <c r="FQ30" s="378"/>
      <c r="FR30" s="378"/>
      <c r="FS30" s="378"/>
      <c r="FT30" s="378"/>
      <c r="FU30" s="378"/>
      <c r="FV30" s="378"/>
      <c r="FW30" s="378"/>
      <c r="FX30" s="378"/>
      <c r="FY30" s="378"/>
      <c r="FZ30" s="378"/>
      <c r="GA30" s="205"/>
      <c r="GB30" s="205"/>
      <c r="GC30" s="378"/>
      <c r="GD30" s="378"/>
      <c r="GE30" s="378"/>
      <c r="GF30" s="378"/>
      <c r="GG30" s="378"/>
      <c r="GH30" s="378"/>
      <c r="GI30" s="378"/>
      <c r="GJ30" s="378"/>
      <c r="GK30" s="378"/>
      <c r="GL30" s="378"/>
      <c r="GM30" s="378"/>
      <c r="GN30" s="205"/>
      <c r="GO30" s="205"/>
      <c r="GP30" s="378"/>
      <c r="GQ30" s="378"/>
      <c r="GR30" s="378"/>
      <c r="GS30" s="378"/>
      <c r="GT30" s="378"/>
      <c r="GU30" s="378"/>
      <c r="GV30" s="378"/>
      <c r="GW30" s="378"/>
      <c r="GX30" s="378"/>
      <c r="GY30" s="378"/>
      <c r="GZ30" s="378"/>
      <c r="HA30" s="205"/>
      <c r="HB30" s="205"/>
      <c r="HC30" s="378"/>
      <c r="HD30" s="378"/>
      <c r="HE30" s="378"/>
      <c r="HF30" s="378"/>
      <c r="HG30" s="378"/>
      <c r="HH30" s="378"/>
      <c r="HI30" s="378"/>
      <c r="HJ30" s="378"/>
      <c r="HK30" s="378"/>
      <c r="HL30" s="378"/>
      <c r="HM30" s="378"/>
      <c r="HN30" s="205"/>
      <c r="HO30" s="205"/>
      <c r="HP30" s="378"/>
      <c r="HQ30" s="378"/>
      <c r="HR30" s="378"/>
      <c r="HS30" s="378"/>
      <c r="HT30" s="378"/>
      <c r="HU30" s="378"/>
      <c r="HV30" s="378"/>
      <c r="HW30" s="378"/>
      <c r="HX30" s="378"/>
      <c r="HY30" s="378"/>
      <c r="HZ30" s="378"/>
      <c r="IA30" s="205"/>
      <c r="IB30" s="205"/>
      <c r="IC30" s="378"/>
      <c r="ID30" s="378"/>
      <c r="IE30" s="378"/>
      <c r="IF30" s="378"/>
      <c r="IG30" s="378"/>
      <c r="IH30" s="378"/>
      <c r="II30" s="378"/>
      <c r="IJ30" s="378"/>
      <c r="IK30" s="378"/>
      <c r="IL30" s="378"/>
      <c r="IM30" s="378"/>
      <c r="IN30" s="205"/>
      <c r="IO30" s="205"/>
      <c r="IP30" s="378"/>
      <c r="IQ30" s="378"/>
      <c r="IR30" s="378"/>
      <c r="IS30" s="378"/>
      <c r="IT30" s="378"/>
      <c r="IU30" s="378"/>
      <c r="IV30" s="378"/>
    </row>
    <row r="31" spans="1:256" x14ac:dyDescent="0.2">
      <c r="A31" s="216"/>
      <c r="B31" s="217"/>
      <c r="C31" s="373"/>
      <c r="D31" s="373"/>
      <c r="E31" s="373"/>
      <c r="F31" s="373"/>
      <c r="G31" s="373"/>
      <c r="H31" s="373"/>
      <c r="I31" s="373"/>
      <c r="J31" s="373"/>
      <c r="K31" s="373"/>
      <c r="L31" s="373"/>
      <c r="M31" s="374"/>
      <c r="N31" s="209"/>
      <c r="O31" s="209"/>
      <c r="P31" s="379"/>
      <c r="Q31" s="379"/>
      <c r="R31" s="379"/>
      <c r="S31" s="379"/>
      <c r="T31" s="379"/>
      <c r="U31" s="379"/>
      <c r="V31" s="379"/>
      <c r="W31" s="379"/>
      <c r="X31" s="379"/>
      <c r="Y31" s="379"/>
      <c r="Z31" s="379"/>
      <c r="AA31" s="205"/>
      <c r="AB31" s="205"/>
      <c r="AC31" s="378"/>
      <c r="AD31" s="378"/>
      <c r="AE31" s="378"/>
      <c r="AF31" s="378"/>
      <c r="AG31" s="378"/>
      <c r="AH31" s="378"/>
      <c r="AI31" s="378"/>
      <c r="AJ31" s="378"/>
      <c r="AK31" s="378"/>
      <c r="AL31" s="378"/>
      <c r="AM31" s="378"/>
      <c r="AN31" s="205"/>
      <c r="AO31" s="205"/>
      <c r="AP31" s="378"/>
      <c r="AQ31" s="378"/>
      <c r="AR31" s="378"/>
      <c r="AS31" s="378"/>
      <c r="AT31" s="378"/>
      <c r="AU31" s="378"/>
      <c r="AV31" s="378"/>
      <c r="AW31" s="378"/>
      <c r="AX31" s="378"/>
      <c r="AY31" s="378"/>
      <c r="AZ31" s="378"/>
      <c r="BA31" s="205"/>
      <c r="BB31" s="205"/>
      <c r="BC31" s="378"/>
      <c r="BD31" s="378"/>
      <c r="BE31" s="378"/>
      <c r="BF31" s="378"/>
      <c r="BG31" s="378"/>
      <c r="BH31" s="378"/>
      <c r="BI31" s="378"/>
      <c r="BJ31" s="378"/>
      <c r="BK31" s="378"/>
      <c r="BL31" s="378"/>
      <c r="BM31" s="378"/>
      <c r="BN31" s="205"/>
      <c r="BO31" s="205"/>
      <c r="BP31" s="378"/>
      <c r="BQ31" s="378"/>
      <c r="BR31" s="378"/>
      <c r="BS31" s="378"/>
      <c r="BT31" s="378"/>
      <c r="BU31" s="378"/>
      <c r="BV31" s="378"/>
      <c r="BW31" s="378"/>
      <c r="BX31" s="378"/>
      <c r="BY31" s="378"/>
      <c r="BZ31" s="378"/>
      <c r="CA31" s="205"/>
      <c r="CB31" s="205"/>
      <c r="CC31" s="378"/>
      <c r="CD31" s="378"/>
      <c r="CE31" s="378"/>
      <c r="CF31" s="378"/>
      <c r="CG31" s="378"/>
      <c r="CH31" s="378"/>
      <c r="CI31" s="378"/>
      <c r="CJ31" s="378"/>
      <c r="CK31" s="378"/>
      <c r="CL31" s="378"/>
      <c r="CM31" s="378"/>
      <c r="CN31" s="205"/>
      <c r="CO31" s="205"/>
      <c r="CP31" s="378"/>
      <c r="CQ31" s="378"/>
      <c r="CR31" s="378"/>
      <c r="CS31" s="378"/>
      <c r="CT31" s="378"/>
      <c r="CU31" s="378"/>
      <c r="CV31" s="378"/>
      <c r="CW31" s="378"/>
      <c r="CX31" s="378"/>
      <c r="CY31" s="378"/>
      <c r="CZ31" s="378"/>
      <c r="DA31" s="205"/>
      <c r="DB31" s="205"/>
      <c r="DC31" s="378"/>
      <c r="DD31" s="378"/>
      <c r="DE31" s="378"/>
      <c r="DF31" s="378"/>
      <c r="DG31" s="378"/>
      <c r="DH31" s="378"/>
      <c r="DI31" s="378"/>
      <c r="DJ31" s="378"/>
      <c r="DK31" s="378"/>
      <c r="DL31" s="378"/>
      <c r="DM31" s="378"/>
      <c r="DN31" s="205"/>
      <c r="DO31" s="205"/>
      <c r="DP31" s="378"/>
      <c r="DQ31" s="378"/>
      <c r="DR31" s="378"/>
      <c r="DS31" s="378"/>
      <c r="DT31" s="378"/>
      <c r="DU31" s="378"/>
      <c r="DV31" s="378"/>
      <c r="DW31" s="378"/>
      <c r="DX31" s="378"/>
      <c r="DY31" s="378"/>
      <c r="DZ31" s="378"/>
      <c r="EA31" s="205"/>
      <c r="EB31" s="205"/>
      <c r="EC31" s="378"/>
      <c r="ED31" s="378"/>
      <c r="EE31" s="378"/>
      <c r="EF31" s="378"/>
      <c r="EG31" s="378"/>
      <c r="EH31" s="378"/>
      <c r="EI31" s="378"/>
      <c r="EJ31" s="378"/>
      <c r="EK31" s="378"/>
      <c r="EL31" s="378"/>
      <c r="EM31" s="378"/>
      <c r="EN31" s="205"/>
      <c r="EO31" s="205"/>
      <c r="EP31" s="378"/>
      <c r="EQ31" s="378"/>
      <c r="ER31" s="378"/>
      <c r="ES31" s="378"/>
      <c r="ET31" s="378"/>
      <c r="EU31" s="378"/>
      <c r="EV31" s="378"/>
      <c r="EW31" s="378"/>
      <c r="EX31" s="378"/>
      <c r="EY31" s="378"/>
      <c r="EZ31" s="378"/>
      <c r="FA31" s="205"/>
      <c r="FB31" s="205"/>
      <c r="FC31" s="378"/>
      <c r="FD31" s="378"/>
      <c r="FE31" s="378"/>
      <c r="FF31" s="378"/>
      <c r="FG31" s="378"/>
      <c r="FH31" s="378"/>
      <c r="FI31" s="378"/>
      <c r="FJ31" s="378"/>
      <c r="FK31" s="378"/>
      <c r="FL31" s="378"/>
      <c r="FM31" s="378"/>
      <c r="FN31" s="205"/>
      <c r="FO31" s="205"/>
      <c r="FP31" s="378"/>
      <c r="FQ31" s="378"/>
      <c r="FR31" s="378"/>
      <c r="FS31" s="378"/>
      <c r="FT31" s="378"/>
      <c r="FU31" s="378"/>
      <c r="FV31" s="378"/>
      <c r="FW31" s="378"/>
      <c r="FX31" s="378"/>
      <c r="FY31" s="378"/>
      <c r="FZ31" s="378"/>
      <c r="GA31" s="205"/>
      <c r="GB31" s="205"/>
      <c r="GC31" s="378"/>
      <c r="GD31" s="378"/>
      <c r="GE31" s="378"/>
      <c r="GF31" s="378"/>
      <c r="GG31" s="378"/>
      <c r="GH31" s="378"/>
      <c r="GI31" s="378"/>
      <c r="GJ31" s="378"/>
      <c r="GK31" s="378"/>
      <c r="GL31" s="378"/>
      <c r="GM31" s="378"/>
      <c r="GN31" s="205"/>
      <c r="GO31" s="205"/>
      <c r="GP31" s="378"/>
      <c r="GQ31" s="378"/>
      <c r="GR31" s="378"/>
      <c r="GS31" s="378"/>
      <c r="GT31" s="378"/>
      <c r="GU31" s="378"/>
      <c r="GV31" s="378"/>
      <c r="GW31" s="378"/>
      <c r="GX31" s="378"/>
      <c r="GY31" s="378"/>
      <c r="GZ31" s="378"/>
      <c r="HA31" s="205"/>
      <c r="HB31" s="205"/>
      <c r="HC31" s="378"/>
      <c r="HD31" s="378"/>
      <c r="HE31" s="378"/>
      <c r="HF31" s="378"/>
      <c r="HG31" s="378"/>
      <c r="HH31" s="378"/>
      <c r="HI31" s="378"/>
      <c r="HJ31" s="378"/>
      <c r="HK31" s="378"/>
      <c r="HL31" s="378"/>
      <c r="HM31" s="378"/>
      <c r="HN31" s="205"/>
      <c r="HO31" s="205"/>
      <c r="HP31" s="378"/>
      <c r="HQ31" s="378"/>
      <c r="HR31" s="378"/>
      <c r="HS31" s="378"/>
      <c r="HT31" s="378"/>
      <c r="HU31" s="378"/>
      <c r="HV31" s="378"/>
      <c r="HW31" s="378"/>
      <c r="HX31" s="378"/>
      <c r="HY31" s="378"/>
      <c r="HZ31" s="378"/>
      <c r="IA31" s="205"/>
      <c r="IB31" s="205"/>
      <c r="IC31" s="378"/>
      <c r="ID31" s="378"/>
      <c r="IE31" s="378"/>
      <c r="IF31" s="378"/>
      <c r="IG31" s="378"/>
      <c r="IH31" s="378"/>
      <c r="II31" s="378"/>
      <c r="IJ31" s="378"/>
      <c r="IK31" s="378"/>
      <c r="IL31" s="378"/>
      <c r="IM31" s="378"/>
      <c r="IN31" s="205"/>
      <c r="IO31" s="205"/>
      <c r="IP31" s="378"/>
      <c r="IQ31" s="378"/>
      <c r="IR31" s="378"/>
      <c r="IS31" s="378"/>
      <c r="IT31" s="378"/>
      <c r="IU31" s="378"/>
      <c r="IV31" s="378"/>
    </row>
    <row r="32" spans="1:256" x14ac:dyDescent="0.2">
      <c r="A32" s="216"/>
      <c r="B32" s="217"/>
      <c r="C32" s="373"/>
      <c r="D32" s="373"/>
      <c r="E32" s="373"/>
      <c r="F32" s="373"/>
      <c r="G32" s="373"/>
      <c r="H32" s="373"/>
      <c r="I32" s="373"/>
      <c r="J32" s="373"/>
      <c r="K32" s="373"/>
      <c r="L32" s="373"/>
      <c r="M32" s="374"/>
      <c r="N32" s="221"/>
      <c r="O32" s="221"/>
      <c r="P32" s="380"/>
      <c r="Q32" s="380"/>
      <c r="R32" s="380"/>
      <c r="S32" s="380"/>
      <c r="T32" s="380"/>
      <c r="U32" s="380"/>
      <c r="V32" s="380"/>
      <c r="W32" s="380"/>
      <c r="X32" s="380"/>
      <c r="Y32" s="380"/>
      <c r="Z32" s="381"/>
      <c r="AA32" s="216"/>
      <c r="AB32" s="217"/>
      <c r="AC32" s="373"/>
      <c r="AD32" s="373"/>
      <c r="AE32" s="373"/>
      <c r="AF32" s="373"/>
      <c r="AG32" s="373"/>
      <c r="AH32" s="373"/>
      <c r="AI32" s="373"/>
      <c r="AJ32" s="373"/>
      <c r="AK32" s="373"/>
      <c r="AL32" s="373"/>
      <c r="AM32" s="374"/>
      <c r="AN32" s="216"/>
      <c r="AO32" s="217"/>
      <c r="AP32" s="373"/>
      <c r="AQ32" s="373"/>
      <c r="AR32" s="373"/>
      <c r="AS32" s="373"/>
      <c r="AT32" s="373"/>
      <c r="AU32" s="373"/>
      <c r="AV32" s="373"/>
      <c r="AW32" s="373"/>
      <c r="AX32" s="373"/>
      <c r="AY32" s="373"/>
      <c r="AZ32" s="374"/>
      <c r="BA32" s="216"/>
      <c r="BB32" s="217"/>
      <c r="BC32" s="373"/>
      <c r="BD32" s="373"/>
      <c r="BE32" s="373"/>
      <c r="BF32" s="373"/>
      <c r="BG32" s="373"/>
      <c r="BH32" s="373"/>
      <c r="BI32" s="373"/>
      <c r="BJ32" s="373"/>
      <c r="BK32" s="373"/>
      <c r="BL32" s="373"/>
      <c r="BM32" s="374"/>
      <c r="BN32" s="216"/>
      <c r="BO32" s="217"/>
      <c r="BP32" s="373"/>
      <c r="BQ32" s="373"/>
      <c r="BR32" s="373"/>
      <c r="BS32" s="373"/>
      <c r="BT32" s="373"/>
      <c r="BU32" s="373"/>
      <c r="BV32" s="373"/>
      <c r="BW32" s="373"/>
      <c r="BX32" s="373"/>
      <c r="BY32" s="373"/>
      <c r="BZ32" s="374"/>
      <c r="CA32" s="216"/>
      <c r="CB32" s="217"/>
      <c r="CC32" s="373"/>
      <c r="CD32" s="373"/>
      <c r="CE32" s="373"/>
      <c r="CF32" s="373"/>
      <c r="CG32" s="373"/>
      <c r="CH32" s="373"/>
      <c r="CI32" s="373"/>
      <c r="CJ32" s="373"/>
      <c r="CK32" s="373"/>
      <c r="CL32" s="373"/>
      <c r="CM32" s="374"/>
      <c r="CN32" s="216"/>
      <c r="CO32" s="217"/>
      <c r="CP32" s="373"/>
      <c r="CQ32" s="373"/>
      <c r="CR32" s="373"/>
      <c r="CS32" s="373"/>
      <c r="CT32" s="373"/>
      <c r="CU32" s="373"/>
      <c r="CV32" s="373"/>
      <c r="CW32" s="373"/>
      <c r="CX32" s="373"/>
      <c r="CY32" s="373"/>
      <c r="CZ32" s="374"/>
      <c r="DA32" s="216"/>
      <c r="DB32" s="217"/>
      <c r="DC32" s="373"/>
      <c r="DD32" s="373"/>
      <c r="DE32" s="373"/>
      <c r="DF32" s="373"/>
      <c r="DG32" s="373"/>
      <c r="DH32" s="373"/>
      <c r="DI32" s="373"/>
      <c r="DJ32" s="373"/>
      <c r="DK32" s="373"/>
      <c r="DL32" s="373"/>
      <c r="DM32" s="374"/>
      <c r="DN32" s="216"/>
      <c r="DO32" s="217"/>
      <c r="DP32" s="373"/>
      <c r="DQ32" s="373"/>
      <c r="DR32" s="373"/>
      <c r="DS32" s="373"/>
      <c r="DT32" s="373"/>
      <c r="DU32" s="373"/>
      <c r="DV32" s="373"/>
      <c r="DW32" s="373"/>
      <c r="DX32" s="373"/>
      <c r="DY32" s="373"/>
      <c r="DZ32" s="374"/>
      <c r="EA32" s="216"/>
      <c r="EB32" s="217"/>
      <c r="EC32" s="373"/>
      <c r="ED32" s="373"/>
      <c r="EE32" s="373"/>
      <c r="EF32" s="373"/>
      <c r="EG32" s="373"/>
      <c r="EH32" s="373"/>
      <c r="EI32" s="373"/>
      <c r="EJ32" s="373"/>
      <c r="EK32" s="373"/>
      <c r="EL32" s="373"/>
      <c r="EM32" s="374"/>
      <c r="EN32" s="216"/>
      <c r="EO32" s="217"/>
      <c r="EP32" s="373"/>
      <c r="EQ32" s="373"/>
      <c r="ER32" s="373"/>
      <c r="ES32" s="373"/>
      <c r="ET32" s="373"/>
      <c r="EU32" s="373"/>
      <c r="EV32" s="373"/>
      <c r="EW32" s="373"/>
      <c r="EX32" s="373"/>
      <c r="EY32" s="373"/>
      <c r="EZ32" s="374"/>
      <c r="FA32" s="216"/>
      <c r="FB32" s="217"/>
      <c r="FC32" s="373"/>
      <c r="FD32" s="373"/>
      <c r="FE32" s="373"/>
      <c r="FF32" s="373"/>
      <c r="FG32" s="373"/>
      <c r="FH32" s="373"/>
      <c r="FI32" s="373"/>
      <c r="FJ32" s="373"/>
      <c r="FK32" s="373"/>
      <c r="FL32" s="373"/>
      <c r="FM32" s="374"/>
      <c r="FN32" s="216"/>
      <c r="FO32" s="217"/>
      <c r="FP32" s="373"/>
      <c r="FQ32" s="373"/>
      <c r="FR32" s="373"/>
      <c r="FS32" s="373"/>
      <c r="FT32" s="373"/>
      <c r="FU32" s="373"/>
      <c r="FV32" s="373"/>
      <c r="FW32" s="373"/>
      <c r="FX32" s="373"/>
      <c r="FY32" s="373"/>
      <c r="FZ32" s="374"/>
      <c r="GA32" s="216"/>
      <c r="GB32" s="217"/>
      <c r="GC32" s="373"/>
      <c r="GD32" s="373"/>
      <c r="GE32" s="373"/>
      <c r="GF32" s="373"/>
      <c r="GG32" s="373"/>
      <c r="GH32" s="373"/>
      <c r="GI32" s="373"/>
      <c r="GJ32" s="373"/>
      <c r="GK32" s="373"/>
      <c r="GL32" s="373"/>
      <c r="GM32" s="374"/>
      <c r="GN32" s="216"/>
      <c r="GO32" s="217"/>
      <c r="GP32" s="373"/>
      <c r="GQ32" s="373"/>
      <c r="GR32" s="373"/>
      <c r="GS32" s="373"/>
      <c r="GT32" s="373"/>
      <c r="GU32" s="373"/>
      <c r="GV32" s="373"/>
      <c r="GW32" s="373"/>
      <c r="GX32" s="373"/>
      <c r="GY32" s="373"/>
      <c r="GZ32" s="374"/>
      <c r="HA32" s="216"/>
      <c r="HB32" s="217"/>
      <c r="HC32" s="373"/>
      <c r="HD32" s="373"/>
      <c r="HE32" s="373"/>
      <c r="HF32" s="373"/>
      <c r="HG32" s="373"/>
      <c r="HH32" s="373"/>
      <c r="HI32" s="373"/>
      <c r="HJ32" s="373"/>
      <c r="HK32" s="373"/>
      <c r="HL32" s="373"/>
      <c r="HM32" s="374"/>
      <c r="HN32" s="216"/>
      <c r="HO32" s="217"/>
      <c r="HP32" s="373"/>
      <c r="HQ32" s="373"/>
      <c r="HR32" s="373"/>
      <c r="HS32" s="373"/>
      <c r="HT32" s="373"/>
      <c r="HU32" s="373"/>
      <c r="HV32" s="373"/>
      <c r="HW32" s="373"/>
      <c r="HX32" s="373"/>
      <c r="HY32" s="373"/>
      <c r="HZ32" s="374"/>
      <c r="IA32" s="216"/>
      <c r="IB32" s="217"/>
      <c r="IC32" s="373"/>
      <c r="ID32" s="373"/>
      <c r="IE32" s="373"/>
      <c r="IF32" s="373"/>
      <c r="IG32" s="373"/>
      <c r="IH32" s="373"/>
      <c r="II32" s="373"/>
      <c r="IJ32" s="373"/>
      <c r="IK32" s="373"/>
      <c r="IL32" s="373"/>
      <c r="IM32" s="374"/>
      <c r="IN32" s="216"/>
      <c r="IO32" s="217"/>
      <c r="IP32" s="373"/>
      <c r="IQ32" s="373"/>
      <c r="IR32" s="373"/>
      <c r="IS32" s="373"/>
      <c r="IT32" s="373"/>
      <c r="IU32" s="373"/>
      <c r="IV32" s="373"/>
    </row>
    <row r="33" spans="1:256" x14ac:dyDescent="0.2">
      <c r="A33" s="216"/>
      <c r="B33" s="217"/>
      <c r="C33" s="373"/>
      <c r="D33" s="373"/>
      <c r="E33" s="373"/>
      <c r="F33" s="373"/>
      <c r="G33" s="373"/>
      <c r="H33" s="373"/>
      <c r="I33" s="373"/>
      <c r="J33" s="373"/>
      <c r="K33" s="373"/>
      <c r="L33" s="373"/>
      <c r="M33" s="374"/>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73"/>
      <c r="D34" s="373"/>
      <c r="E34" s="373"/>
      <c r="F34" s="373"/>
      <c r="G34" s="373"/>
      <c r="H34" s="373"/>
      <c r="I34" s="373"/>
      <c r="J34" s="373"/>
      <c r="K34" s="373"/>
      <c r="L34" s="373"/>
      <c r="M34" s="374"/>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73"/>
      <c r="D35" s="373"/>
      <c r="E35" s="373"/>
      <c r="F35" s="373"/>
      <c r="G35" s="373"/>
      <c r="H35" s="373"/>
      <c r="I35" s="373"/>
      <c r="J35" s="373"/>
      <c r="K35" s="373"/>
      <c r="L35" s="373"/>
      <c r="M35" s="374"/>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73"/>
      <c r="D36" s="373"/>
      <c r="E36" s="373"/>
      <c r="F36" s="373"/>
      <c r="G36" s="373"/>
      <c r="H36" s="373"/>
      <c r="I36" s="373"/>
      <c r="J36" s="373"/>
      <c r="K36" s="373"/>
      <c r="L36" s="373"/>
      <c r="M36" s="374"/>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73"/>
      <c r="D37" s="373"/>
      <c r="E37" s="373"/>
      <c r="F37" s="373"/>
      <c r="G37" s="373"/>
      <c r="H37" s="373"/>
      <c r="I37" s="373"/>
      <c r="J37" s="373"/>
      <c r="K37" s="373"/>
      <c r="L37" s="373"/>
      <c r="M37" s="374"/>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73"/>
      <c r="D38" s="373"/>
      <c r="E38" s="373"/>
      <c r="F38" s="373"/>
      <c r="G38" s="373"/>
      <c r="H38" s="373"/>
      <c r="I38" s="373"/>
      <c r="J38" s="373"/>
      <c r="K38" s="373"/>
      <c r="L38" s="373"/>
      <c r="M38" s="374"/>
      <c r="N38" s="209"/>
      <c r="O38" s="209"/>
      <c r="P38" s="379"/>
      <c r="Q38" s="379"/>
      <c r="R38" s="379"/>
      <c r="S38" s="379"/>
      <c r="T38" s="379"/>
      <c r="U38" s="379"/>
      <c r="V38" s="379"/>
      <c r="W38" s="379"/>
      <c r="X38" s="379"/>
      <c r="Y38" s="379"/>
      <c r="Z38" s="379"/>
      <c r="AA38" s="205"/>
      <c r="AB38" s="205"/>
      <c r="AC38" s="378"/>
      <c r="AD38" s="378"/>
      <c r="AE38" s="378"/>
      <c r="AF38" s="378"/>
      <c r="AG38" s="378"/>
      <c r="AH38" s="378"/>
      <c r="AI38" s="378"/>
      <c r="AJ38" s="378"/>
      <c r="AK38" s="378"/>
      <c r="AL38" s="378"/>
      <c r="AM38" s="378"/>
      <c r="AN38" s="205"/>
      <c r="AO38" s="205"/>
      <c r="AP38" s="378"/>
      <c r="AQ38" s="378"/>
      <c r="AR38" s="378"/>
      <c r="AS38" s="378"/>
      <c r="AT38" s="378"/>
      <c r="AU38" s="378"/>
      <c r="AV38" s="378"/>
      <c r="AW38" s="378"/>
      <c r="AX38" s="378"/>
      <c r="AY38" s="378"/>
      <c r="AZ38" s="378"/>
      <c r="BA38" s="205"/>
      <c r="BB38" s="205"/>
      <c r="BC38" s="378"/>
      <c r="BD38" s="378"/>
      <c r="BE38" s="378"/>
      <c r="BF38" s="378"/>
      <c r="BG38" s="378"/>
      <c r="BH38" s="378"/>
      <c r="BI38" s="378"/>
      <c r="BJ38" s="378"/>
      <c r="BK38" s="378"/>
      <c r="BL38" s="378"/>
      <c r="BM38" s="378"/>
      <c r="BN38" s="205"/>
      <c r="BO38" s="205"/>
      <c r="BP38" s="378"/>
      <c r="BQ38" s="378"/>
      <c r="BR38" s="378"/>
      <c r="BS38" s="378"/>
      <c r="BT38" s="378"/>
      <c r="BU38" s="378"/>
      <c r="BV38" s="378"/>
      <c r="BW38" s="378"/>
      <c r="BX38" s="378"/>
      <c r="BY38" s="378"/>
      <c r="BZ38" s="378"/>
      <c r="CA38" s="205"/>
      <c r="CB38" s="205"/>
      <c r="CC38" s="378"/>
      <c r="CD38" s="378"/>
      <c r="CE38" s="378"/>
      <c r="CF38" s="378"/>
      <c r="CG38" s="378"/>
      <c r="CH38" s="378"/>
      <c r="CI38" s="378"/>
      <c r="CJ38" s="378"/>
      <c r="CK38" s="378"/>
      <c r="CL38" s="378"/>
      <c r="CM38" s="378"/>
      <c r="CN38" s="205"/>
      <c r="CO38" s="205"/>
      <c r="CP38" s="378"/>
      <c r="CQ38" s="378"/>
      <c r="CR38" s="378"/>
      <c r="CS38" s="378"/>
      <c r="CT38" s="378"/>
      <c r="CU38" s="378"/>
      <c r="CV38" s="378"/>
      <c r="CW38" s="378"/>
      <c r="CX38" s="378"/>
      <c r="CY38" s="378"/>
      <c r="CZ38" s="378"/>
      <c r="DA38" s="205"/>
      <c r="DB38" s="205"/>
      <c r="DC38" s="378"/>
      <c r="DD38" s="378"/>
      <c r="DE38" s="378"/>
      <c r="DF38" s="378"/>
      <c r="DG38" s="378"/>
      <c r="DH38" s="378"/>
      <c r="DI38" s="378"/>
      <c r="DJ38" s="378"/>
      <c r="DK38" s="378"/>
      <c r="DL38" s="378"/>
      <c r="DM38" s="378"/>
      <c r="DN38" s="205"/>
      <c r="DO38" s="205"/>
      <c r="DP38" s="378"/>
      <c r="DQ38" s="378"/>
      <c r="DR38" s="378"/>
      <c r="DS38" s="378"/>
      <c r="DT38" s="378"/>
      <c r="DU38" s="378"/>
      <c r="DV38" s="378"/>
      <c r="DW38" s="378"/>
      <c r="DX38" s="378"/>
      <c r="DY38" s="378"/>
      <c r="DZ38" s="378"/>
      <c r="EA38" s="205"/>
      <c r="EB38" s="205"/>
      <c r="EC38" s="378"/>
      <c r="ED38" s="378"/>
      <c r="EE38" s="378"/>
      <c r="EF38" s="378"/>
      <c r="EG38" s="378"/>
      <c r="EH38" s="378"/>
      <c r="EI38" s="378"/>
      <c r="EJ38" s="378"/>
      <c r="EK38" s="378"/>
      <c r="EL38" s="378"/>
      <c r="EM38" s="378"/>
      <c r="EN38" s="205"/>
      <c r="EO38" s="205"/>
      <c r="EP38" s="378"/>
      <c r="EQ38" s="378"/>
      <c r="ER38" s="378"/>
      <c r="ES38" s="378"/>
      <c r="ET38" s="378"/>
      <c r="EU38" s="378"/>
      <c r="EV38" s="378"/>
      <c r="EW38" s="378"/>
      <c r="EX38" s="378"/>
      <c r="EY38" s="378"/>
      <c r="EZ38" s="378"/>
      <c r="FA38" s="205"/>
      <c r="FB38" s="205"/>
      <c r="FC38" s="378"/>
      <c r="FD38" s="378"/>
      <c r="FE38" s="378"/>
      <c r="FF38" s="378"/>
      <c r="FG38" s="378"/>
      <c r="FH38" s="378"/>
      <c r="FI38" s="378"/>
      <c r="FJ38" s="378"/>
      <c r="FK38" s="378"/>
      <c r="FL38" s="378"/>
      <c r="FM38" s="378"/>
      <c r="FN38" s="205"/>
      <c r="FO38" s="205"/>
      <c r="FP38" s="378"/>
      <c r="FQ38" s="378"/>
      <c r="FR38" s="378"/>
      <c r="FS38" s="378"/>
      <c r="FT38" s="378"/>
      <c r="FU38" s="378"/>
      <c r="FV38" s="378"/>
      <c r="FW38" s="378"/>
      <c r="FX38" s="378"/>
      <c r="FY38" s="378"/>
      <c r="FZ38" s="378"/>
      <c r="GA38" s="205"/>
      <c r="GB38" s="205"/>
      <c r="GC38" s="378"/>
      <c r="GD38" s="378"/>
      <c r="GE38" s="378"/>
      <c r="GF38" s="378"/>
      <c r="GG38" s="378"/>
      <c r="GH38" s="378"/>
      <c r="GI38" s="378"/>
      <c r="GJ38" s="378"/>
      <c r="GK38" s="378"/>
      <c r="GL38" s="378"/>
      <c r="GM38" s="378"/>
      <c r="GN38" s="205"/>
      <c r="GO38" s="205"/>
      <c r="GP38" s="378"/>
      <c r="GQ38" s="378"/>
      <c r="GR38" s="378"/>
      <c r="GS38" s="378"/>
      <c r="GT38" s="378"/>
      <c r="GU38" s="378"/>
      <c r="GV38" s="378"/>
      <c r="GW38" s="378"/>
      <c r="GX38" s="378"/>
      <c r="GY38" s="378"/>
      <c r="GZ38" s="378"/>
      <c r="HA38" s="205"/>
      <c r="HB38" s="205"/>
      <c r="HC38" s="378"/>
      <c r="HD38" s="378"/>
      <c r="HE38" s="378"/>
      <c r="HF38" s="378"/>
      <c r="HG38" s="378"/>
      <c r="HH38" s="378"/>
      <c r="HI38" s="378"/>
      <c r="HJ38" s="378"/>
      <c r="HK38" s="378"/>
      <c r="HL38" s="378"/>
      <c r="HM38" s="378"/>
      <c r="HN38" s="205"/>
      <c r="HO38" s="205"/>
      <c r="HP38" s="378"/>
      <c r="HQ38" s="378"/>
      <c r="HR38" s="378"/>
      <c r="HS38" s="378"/>
      <c r="HT38" s="378"/>
      <c r="HU38" s="378"/>
      <c r="HV38" s="378"/>
      <c r="HW38" s="378"/>
      <c r="HX38" s="378"/>
      <c r="HY38" s="378"/>
      <c r="HZ38" s="378"/>
      <c r="IA38" s="205"/>
      <c r="IB38" s="205"/>
      <c r="IC38" s="378"/>
      <c r="ID38" s="378"/>
      <c r="IE38" s="378"/>
      <c r="IF38" s="378"/>
      <c r="IG38" s="378"/>
      <c r="IH38" s="378"/>
      <c r="II38" s="378"/>
      <c r="IJ38" s="378"/>
      <c r="IK38" s="378"/>
      <c r="IL38" s="378"/>
      <c r="IM38" s="378"/>
      <c r="IN38" s="205"/>
      <c r="IO38" s="205"/>
      <c r="IP38" s="378"/>
      <c r="IQ38" s="378"/>
      <c r="IR38" s="378"/>
      <c r="IS38" s="378"/>
      <c r="IT38" s="378"/>
      <c r="IU38" s="378"/>
      <c r="IV38" s="378"/>
    </row>
    <row r="39" spans="1:256" x14ac:dyDescent="0.2">
      <c r="A39" s="216"/>
      <c r="B39" s="217"/>
      <c r="C39" s="373"/>
      <c r="D39" s="373"/>
      <c r="E39" s="373"/>
      <c r="F39" s="373"/>
      <c r="G39" s="373"/>
      <c r="H39" s="373"/>
      <c r="I39" s="373"/>
      <c r="J39" s="373"/>
      <c r="K39" s="373"/>
      <c r="L39" s="373"/>
      <c r="M39" s="374"/>
      <c r="N39" s="209"/>
      <c r="O39" s="209"/>
      <c r="P39" s="379"/>
      <c r="Q39" s="379"/>
      <c r="R39" s="379"/>
      <c r="S39" s="379"/>
      <c r="T39" s="379"/>
      <c r="U39" s="379"/>
      <c r="V39" s="379"/>
      <c r="W39" s="379"/>
      <c r="X39" s="379"/>
      <c r="Y39" s="379"/>
      <c r="Z39" s="379"/>
      <c r="AA39" s="205"/>
      <c r="AB39" s="205"/>
      <c r="AC39" s="378"/>
      <c r="AD39" s="378"/>
      <c r="AE39" s="378"/>
      <c r="AF39" s="378"/>
      <c r="AG39" s="378"/>
      <c r="AH39" s="378"/>
      <c r="AI39" s="378"/>
      <c r="AJ39" s="378"/>
      <c r="AK39" s="378"/>
      <c r="AL39" s="378"/>
      <c r="AM39" s="378"/>
      <c r="AN39" s="205"/>
      <c r="AO39" s="205"/>
      <c r="AP39" s="378"/>
      <c r="AQ39" s="378"/>
      <c r="AR39" s="378"/>
      <c r="AS39" s="378"/>
      <c r="AT39" s="378"/>
      <c r="AU39" s="378"/>
      <c r="AV39" s="378"/>
      <c r="AW39" s="378"/>
      <c r="AX39" s="378"/>
      <c r="AY39" s="378"/>
      <c r="AZ39" s="378"/>
      <c r="BA39" s="205"/>
      <c r="BB39" s="205"/>
      <c r="BC39" s="378"/>
      <c r="BD39" s="378"/>
      <c r="BE39" s="378"/>
      <c r="BF39" s="378"/>
      <c r="BG39" s="378"/>
      <c r="BH39" s="378"/>
      <c r="BI39" s="378"/>
      <c r="BJ39" s="378"/>
      <c r="BK39" s="378"/>
      <c r="BL39" s="378"/>
      <c r="BM39" s="378"/>
      <c r="BN39" s="205"/>
      <c r="BO39" s="205"/>
      <c r="BP39" s="378"/>
      <c r="BQ39" s="378"/>
      <c r="BR39" s="378"/>
      <c r="BS39" s="378"/>
      <c r="BT39" s="378"/>
      <c r="BU39" s="378"/>
      <c r="BV39" s="378"/>
      <c r="BW39" s="378"/>
      <c r="BX39" s="378"/>
      <c r="BY39" s="378"/>
      <c r="BZ39" s="378"/>
      <c r="CA39" s="205"/>
      <c r="CB39" s="205"/>
      <c r="CC39" s="378"/>
      <c r="CD39" s="378"/>
      <c r="CE39" s="378"/>
      <c r="CF39" s="378"/>
      <c r="CG39" s="378"/>
      <c r="CH39" s="378"/>
      <c r="CI39" s="378"/>
      <c r="CJ39" s="378"/>
      <c r="CK39" s="378"/>
      <c r="CL39" s="378"/>
      <c r="CM39" s="378"/>
      <c r="CN39" s="205"/>
      <c r="CO39" s="205"/>
      <c r="CP39" s="378"/>
      <c r="CQ39" s="378"/>
      <c r="CR39" s="378"/>
      <c r="CS39" s="378"/>
      <c r="CT39" s="378"/>
      <c r="CU39" s="378"/>
      <c r="CV39" s="378"/>
      <c r="CW39" s="378"/>
      <c r="CX39" s="378"/>
      <c r="CY39" s="378"/>
      <c r="CZ39" s="378"/>
      <c r="DA39" s="205"/>
      <c r="DB39" s="205"/>
      <c r="DC39" s="378"/>
      <c r="DD39" s="378"/>
      <c r="DE39" s="378"/>
      <c r="DF39" s="378"/>
      <c r="DG39" s="378"/>
      <c r="DH39" s="378"/>
      <c r="DI39" s="378"/>
      <c r="DJ39" s="378"/>
      <c r="DK39" s="378"/>
      <c r="DL39" s="378"/>
      <c r="DM39" s="378"/>
      <c r="DN39" s="205"/>
      <c r="DO39" s="205"/>
      <c r="DP39" s="378"/>
      <c r="DQ39" s="378"/>
      <c r="DR39" s="378"/>
      <c r="DS39" s="378"/>
      <c r="DT39" s="378"/>
      <c r="DU39" s="378"/>
      <c r="DV39" s="378"/>
      <c r="DW39" s="378"/>
      <c r="DX39" s="378"/>
      <c r="DY39" s="378"/>
      <c r="DZ39" s="378"/>
      <c r="EA39" s="205"/>
      <c r="EB39" s="205"/>
      <c r="EC39" s="378"/>
      <c r="ED39" s="378"/>
      <c r="EE39" s="378"/>
      <c r="EF39" s="378"/>
      <c r="EG39" s="378"/>
      <c r="EH39" s="378"/>
      <c r="EI39" s="378"/>
      <c r="EJ39" s="378"/>
      <c r="EK39" s="378"/>
      <c r="EL39" s="378"/>
      <c r="EM39" s="378"/>
      <c r="EN39" s="205"/>
      <c r="EO39" s="205"/>
      <c r="EP39" s="378"/>
      <c r="EQ39" s="378"/>
      <c r="ER39" s="378"/>
      <c r="ES39" s="378"/>
      <c r="ET39" s="378"/>
      <c r="EU39" s="378"/>
      <c r="EV39" s="378"/>
      <c r="EW39" s="378"/>
      <c r="EX39" s="378"/>
      <c r="EY39" s="378"/>
      <c r="EZ39" s="378"/>
      <c r="FA39" s="205"/>
      <c r="FB39" s="205"/>
      <c r="FC39" s="378"/>
      <c r="FD39" s="378"/>
      <c r="FE39" s="378"/>
      <c r="FF39" s="378"/>
      <c r="FG39" s="378"/>
      <c r="FH39" s="378"/>
      <c r="FI39" s="378"/>
      <c r="FJ39" s="378"/>
      <c r="FK39" s="378"/>
      <c r="FL39" s="378"/>
      <c r="FM39" s="378"/>
      <c r="FN39" s="205"/>
      <c r="FO39" s="205"/>
      <c r="FP39" s="378"/>
      <c r="FQ39" s="378"/>
      <c r="FR39" s="378"/>
      <c r="FS39" s="378"/>
      <c r="FT39" s="378"/>
      <c r="FU39" s="378"/>
      <c r="FV39" s="378"/>
      <c r="FW39" s="378"/>
      <c r="FX39" s="378"/>
      <c r="FY39" s="378"/>
      <c r="FZ39" s="378"/>
      <c r="GA39" s="205"/>
      <c r="GB39" s="205"/>
      <c r="GC39" s="378"/>
      <c r="GD39" s="378"/>
      <c r="GE39" s="378"/>
      <c r="GF39" s="378"/>
      <c r="GG39" s="378"/>
      <c r="GH39" s="378"/>
      <c r="GI39" s="378"/>
      <c r="GJ39" s="378"/>
      <c r="GK39" s="378"/>
      <c r="GL39" s="378"/>
      <c r="GM39" s="378"/>
      <c r="GN39" s="205"/>
      <c r="GO39" s="205"/>
      <c r="GP39" s="378"/>
      <c r="GQ39" s="378"/>
      <c r="GR39" s="378"/>
      <c r="GS39" s="378"/>
      <c r="GT39" s="378"/>
      <c r="GU39" s="378"/>
      <c r="GV39" s="378"/>
      <c r="GW39" s="378"/>
      <c r="GX39" s="378"/>
      <c r="GY39" s="378"/>
      <c r="GZ39" s="378"/>
      <c r="HA39" s="205"/>
      <c r="HB39" s="205"/>
      <c r="HC39" s="378"/>
      <c r="HD39" s="378"/>
      <c r="HE39" s="378"/>
      <c r="HF39" s="378"/>
      <c r="HG39" s="378"/>
      <c r="HH39" s="378"/>
      <c r="HI39" s="378"/>
      <c r="HJ39" s="378"/>
      <c r="HK39" s="378"/>
      <c r="HL39" s="378"/>
      <c r="HM39" s="378"/>
      <c r="HN39" s="205"/>
      <c r="HO39" s="205"/>
      <c r="HP39" s="378"/>
      <c r="HQ39" s="378"/>
      <c r="HR39" s="378"/>
      <c r="HS39" s="378"/>
      <c r="HT39" s="378"/>
      <c r="HU39" s="378"/>
      <c r="HV39" s="378"/>
      <c r="HW39" s="378"/>
      <c r="HX39" s="378"/>
      <c r="HY39" s="378"/>
      <c r="HZ39" s="378"/>
      <c r="IA39" s="205"/>
      <c r="IB39" s="205"/>
      <c r="IC39" s="378"/>
      <c r="ID39" s="378"/>
      <c r="IE39" s="378"/>
      <c r="IF39" s="378"/>
      <c r="IG39" s="378"/>
      <c r="IH39" s="378"/>
      <c r="II39" s="378"/>
      <c r="IJ39" s="378"/>
      <c r="IK39" s="378"/>
      <c r="IL39" s="378"/>
      <c r="IM39" s="378"/>
      <c r="IN39" s="205"/>
      <c r="IO39" s="205"/>
      <c r="IP39" s="378"/>
      <c r="IQ39" s="378"/>
      <c r="IR39" s="378"/>
      <c r="IS39" s="378"/>
      <c r="IT39" s="378"/>
      <c r="IU39" s="378"/>
      <c r="IV39" s="378"/>
    </row>
    <row r="40" spans="1:256" x14ac:dyDescent="0.2">
      <c r="A40" s="216"/>
      <c r="B40" s="217"/>
      <c r="C40" s="373"/>
      <c r="D40" s="373"/>
      <c r="E40" s="373"/>
      <c r="F40" s="373"/>
      <c r="G40" s="373"/>
      <c r="H40" s="373"/>
      <c r="I40" s="373"/>
      <c r="J40" s="373"/>
      <c r="K40" s="373"/>
      <c r="L40" s="373"/>
      <c r="M40" s="374"/>
      <c r="N40" s="209"/>
      <c r="O40" s="209"/>
      <c r="P40" s="379"/>
      <c r="Q40" s="379"/>
      <c r="R40" s="379"/>
      <c r="S40" s="379"/>
      <c r="T40" s="379"/>
      <c r="U40" s="379"/>
      <c r="V40" s="379"/>
      <c r="W40" s="379"/>
      <c r="X40" s="379"/>
      <c r="Y40" s="379"/>
      <c r="Z40" s="379"/>
      <c r="AA40" s="205"/>
      <c r="AB40" s="205"/>
      <c r="AC40" s="378"/>
      <c r="AD40" s="378"/>
      <c r="AE40" s="378"/>
      <c r="AF40" s="378"/>
      <c r="AG40" s="378"/>
      <c r="AH40" s="378"/>
      <c r="AI40" s="378"/>
      <c r="AJ40" s="378"/>
      <c r="AK40" s="378"/>
      <c r="AL40" s="378"/>
      <c r="AM40" s="378"/>
      <c r="AN40" s="205"/>
      <c r="AO40" s="205"/>
      <c r="AP40" s="378"/>
      <c r="AQ40" s="378"/>
      <c r="AR40" s="378"/>
      <c r="AS40" s="378"/>
      <c r="AT40" s="378"/>
      <c r="AU40" s="378"/>
      <c r="AV40" s="378"/>
      <c r="AW40" s="378"/>
      <c r="AX40" s="378"/>
      <c r="AY40" s="378"/>
      <c r="AZ40" s="378"/>
      <c r="BA40" s="205"/>
      <c r="BB40" s="205"/>
      <c r="BC40" s="378"/>
      <c r="BD40" s="378"/>
      <c r="BE40" s="378"/>
      <c r="BF40" s="378"/>
      <c r="BG40" s="378"/>
      <c r="BH40" s="378"/>
      <c r="BI40" s="378"/>
      <c r="BJ40" s="378"/>
      <c r="BK40" s="378"/>
      <c r="BL40" s="378"/>
      <c r="BM40" s="378"/>
      <c r="BN40" s="205"/>
      <c r="BO40" s="205"/>
      <c r="BP40" s="378"/>
      <c r="BQ40" s="378"/>
      <c r="BR40" s="378"/>
      <c r="BS40" s="378"/>
      <c r="BT40" s="378"/>
      <c r="BU40" s="378"/>
      <c r="BV40" s="378"/>
      <c r="BW40" s="378"/>
      <c r="BX40" s="378"/>
      <c r="BY40" s="378"/>
      <c r="BZ40" s="378"/>
      <c r="CA40" s="205"/>
      <c r="CB40" s="205"/>
      <c r="CC40" s="378"/>
      <c r="CD40" s="378"/>
      <c r="CE40" s="378"/>
      <c r="CF40" s="378"/>
      <c r="CG40" s="378"/>
      <c r="CH40" s="378"/>
      <c r="CI40" s="378"/>
      <c r="CJ40" s="378"/>
      <c r="CK40" s="378"/>
      <c r="CL40" s="378"/>
      <c r="CM40" s="378"/>
      <c r="CN40" s="205"/>
      <c r="CO40" s="205"/>
      <c r="CP40" s="378"/>
      <c r="CQ40" s="378"/>
      <c r="CR40" s="378"/>
      <c r="CS40" s="378"/>
      <c r="CT40" s="378"/>
      <c r="CU40" s="378"/>
      <c r="CV40" s="378"/>
      <c r="CW40" s="378"/>
      <c r="CX40" s="378"/>
      <c r="CY40" s="378"/>
      <c r="CZ40" s="378"/>
      <c r="DA40" s="205"/>
      <c r="DB40" s="205"/>
      <c r="DC40" s="378"/>
      <c r="DD40" s="378"/>
      <c r="DE40" s="378"/>
      <c r="DF40" s="378"/>
      <c r="DG40" s="378"/>
      <c r="DH40" s="378"/>
      <c r="DI40" s="378"/>
      <c r="DJ40" s="378"/>
      <c r="DK40" s="378"/>
      <c r="DL40" s="378"/>
      <c r="DM40" s="378"/>
      <c r="DN40" s="205"/>
      <c r="DO40" s="205"/>
      <c r="DP40" s="378"/>
      <c r="DQ40" s="378"/>
      <c r="DR40" s="378"/>
      <c r="DS40" s="378"/>
      <c r="DT40" s="378"/>
      <c r="DU40" s="378"/>
      <c r="DV40" s="378"/>
      <c r="DW40" s="378"/>
      <c r="DX40" s="378"/>
      <c r="DY40" s="378"/>
      <c r="DZ40" s="378"/>
      <c r="EA40" s="205"/>
      <c r="EB40" s="205"/>
      <c r="EC40" s="378"/>
      <c r="ED40" s="378"/>
      <c r="EE40" s="378"/>
      <c r="EF40" s="378"/>
      <c r="EG40" s="378"/>
      <c r="EH40" s="378"/>
      <c r="EI40" s="378"/>
      <c r="EJ40" s="378"/>
      <c r="EK40" s="378"/>
      <c r="EL40" s="378"/>
      <c r="EM40" s="378"/>
      <c r="EN40" s="205"/>
      <c r="EO40" s="205"/>
      <c r="EP40" s="378"/>
      <c r="EQ40" s="378"/>
      <c r="ER40" s="378"/>
      <c r="ES40" s="378"/>
      <c r="ET40" s="378"/>
      <c r="EU40" s="378"/>
      <c r="EV40" s="378"/>
      <c r="EW40" s="378"/>
      <c r="EX40" s="378"/>
      <c r="EY40" s="378"/>
      <c r="EZ40" s="378"/>
      <c r="FA40" s="205"/>
      <c r="FB40" s="205"/>
      <c r="FC40" s="378"/>
      <c r="FD40" s="378"/>
      <c r="FE40" s="378"/>
      <c r="FF40" s="378"/>
      <c r="FG40" s="378"/>
      <c r="FH40" s="378"/>
      <c r="FI40" s="378"/>
      <c r="FJ40" s="378"/>
      <c r="FK40" s="378"/>
      <c r="FL40" s="378"/>
      <c r="FM40" s="378"/>
      <c r="FN40" s="205"/>
      <c r="FO40" s="205"/>
      <c r="FP40" s="378"/>
      <c r="FQ40" s="378"/>
      <c r="FR40" s="378"/>
      <c r="FS40" s="378"/>
      <c r="FT40" s="378"/>
      <c r="FU40" s="378"/>
      <c r="FV40" s="378"/>
      <c r="FW40" s="378"/>
      <c r="FX40" s="378"/>
      <c r="FY40" s="378"/>
      <c r="FZ40" s="378"/>
      <c r="GA40" s="205"/>
      <c r="GB40" s="205"/>
      <c r="GC40" s="378"/>
      <c r="GD40" s="378"/>
      <c r="GE40" s="378"/>
      <c r="GF40" s="378"/>
      <c r="GG40" s="378"/>
      <c r="GH40" s="378"/>
      <c r="GI40" s="378"/>
      <c r="GJ40" s="378"/>
      <c r="GK40" s="378"/>
      <c r="GL40" s="378"/>
      <c r="GM40" s="378"/>
      <c r="GN40" s="205"/>
      <c r="GO40" s="205"/>
      <c r="GP40" s="378"/>
      <c r="GQ40" s="378"/>
      <c r="GR40" s="378"/>
      <c r="GS40" s="378"/>
      <c r="GT40" s="378"/>
      <c r="GU40" s="378"/>
      <c r="GV40" s="378"/>
      <c r="GW40" s="378"/>
      <c r="GX40" s="378"/>
      <c r="GY40" s="378"/>
      <c r="GZ40" s="378"/>
      <c r="HA40" s="205"/>
      <c r="HB40" s="205"/>
      <c r="HC40" s="378"/>
      <c r="HD40" s="378"/>
      <c r="HE40" s="378"/>
      <c r="HF40" s="378"/>
      <c r="HG40" s="378"/>
      <c r="HH40" s="378"/>
      <c r="HI40" s="378"/>
      <c r="HJ40" s="378"/>
      <c r="HK40" s="378"/>
      <c r="HL40" s="378"/>
      <c r="HM40" s="378"/>
      <c r="HN40" s="205"/>
      <c r="HO40" s="205"/>
      <c r="HP40" s="378"/>
      <c r="HQ40" s="378"/>
      <c r="HR40" s="378"/>
      <c r="HS40" s="378"/>
      <c r="HT40" s="378"/>
      <c r="HU40" s="378"/>
      <c r="HV40" s="378"/>
      <c r="HW40" s="378"/>
      <c r="HX40" s="378"/>
      <c r="HY40" s="378"/>
      <c r="HZ40" s="378"/>
      <c r="IA40" s="205"/>
      <c r="IB40" s="205"/>
      <c r="IC40" s="378"/>
      <c r="ID40" s="378"/>
      <c r="IE40" s="378"/>
      <c r="IF40" s="378"/>
      <c r="IG40" s="378"/>
      <c r="IH40" s="378"/>
      <c r="II40" s="378"/>
      <c r="IJ40" s="378"/>
      <c r="IK40" s="378"/>
      <c r="IL40" s="378"/>
      <c r="IM40" s="378"/>
      <c r="IN40" s="205"/>
      <c r="IO40" s="205"/>
      <c r="IP40" s="378"/>
      <c r="IQ40" s="378"/>
      <c r="IR40" s="378"/>
      <c r="IS40" s="378"/>
      <c r="IT40" s="378"/>
      <c r="IU40" s="378"/>
      <c r="IV40" s="378"/>
    </row>
    <row r="41" spans="1:256" x14ac:dyDescent="0.2">
      <c r="A41" s="216"/>
      <c r="B41" s="217"/>
      <c r="C41" s="373"/>
      <c r="D41" s="373"/>
      <c r="E41" s="373"/>
      <c r="F41" s="373"/>
      <c r="G41" s="373"/>
      <c r="H41" s="373"/>
      <c r="I41" s="373"/>
      <c r="J41" s="373"/>
      <c r="K41" s="373"/>
      <c r="L41" s="373"/>
      <c r="M41" s="374"/>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73"/>
      <c r="D42" s="373"/>
      <c r="E42" s="373"/>
      <c r="F42" s="373"/>
      <c r="G42" s="373"/>
      <c r="H42" s="373"/>
      <c r="I42" s="373"/>
      <c r="J42" s="373"/>
      <c r="K42" s="373"/>
      <c r="L42" s="373"/>
      <c r="M42" s="374"/>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73"/>
      <c r="D43" s="373"/>
      <c r="E43" s="373"/>
      <c r="F43" s="373"/>
      <c r="G43" s="373"/>
      <c r="H43" s="373"/>
      <c r="I43" s="373"/>
      <c r="J43" s="373"/>
      <c r="K43" s="373"/>
      <c r="L43" s="373"/>
      <c r="M43" s="374"/>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73"/>
      <c r="D44" s="373"/>
      <c r="E44" s="373"/>
      <c r="F44" s="373"/>
      <c r="G44" s="373"/>
      <c r="H44" s="373"/>
      <c r="I44" s="373"/>
      <c r="J44" s="373"/>
      <c r="K44" s="373"/>
      <c r="L44" s="373"/>
      <c r="M44" s="374"/>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73"/>
      <c r="D45" s="373"/>
      <c r="E45" s="373"/>
      <c r="F45" s="373"/>
      <c r="G45" s="373"/>
      <c r="H45" s="373"/>
      <c r="I45" s="373"/>
      <c r="J45" s="373"/>
      <c r="K45" s="373"/>
      <c r="L45" s="373"/>
      <c r="M45" s="374"/>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73"/>
      <c r="D46" s="373"/>
      <c r="E46" s="373"/>
      <c r="F46" s="373"/>
      <c r="G46" s="373"/>
      <c r="H46" s="373"/>
      <c r="I46" s="373"/>
      <c r="J46" s="373"/>
      <c r="K46" s="373"/>
      <c r="L46" s="373"/>
      <c r="M46" s="374"/>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73"/>
      <c r="D47" s="373"/>
      <c r="E47" s="373"/>
      <c r="F47" s="373"/>
      <c r="G47" s="373"/>
      <c r="H47" s="373"/>
      <c r="I47" s="373"/>
      <c r="J47" s="373"/>
      <c r="K47" s="373"/>
      <c r="L47" s="373"/>
      <c r="M47" s="374"/>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73"/>
      <c r="D48" s="373"/>
      <c r="E48" s="373"/>
      <c r="F48" s="373"/>
      <c r="G48" s="373"/>
      <c r="H48" s="373"/>
      <c r="I48" s="373"/>
      <c r="J48" s="373"/>
      <c r="K48" s="373"/>
      <c r="L48" s="373"/>
      <c r="M48" s="374"/>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73"/>
      <c r="D49" s="373"/>
      <c r="E49" s="373"/>
      <c r="F49" s="373"/>
      <c r="G49" s="373"/>
      <c r="H49" s="373"/>
      <c r="I49" s="373"/>
      <c r="J49" s="373"/>
      <c r="K49" s="373"/>
      <c r="L49" s="373"/>
      <c r="M49" s="374"/>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73"/>
      <c r="D50" s="373"/>
      <c r="E50" s="373"/>
      <c r="F50" s="373"/>
      <c r="G50" s="373"/>
      <c r="H50" s="373"/>
      <c r="I50" s="373"/>
      <c r="J50" s="373"/>
      <c r="K50" s="373"/>
      <c r="L50" s="373"/>
      <c r="M50" s="374"/>
      <c r="N50" s="125"/>
      <c r="O50" s="125"/>
      <c r="P50" s="125"/>
      <c r="Q50" s="125"/>
      <c r="R50" s="125"/>
      <c r="S50" s="125"/>
      <c r="T50" s="125"/>
      <c r="U50" s="125"/>
      <c r="V50" s="125"/>
      <c r="W50" s="125"/>
      <c r="X50" s="125"/>
      <c r="Y50" s="125"/>
      <c r="Z50" s="125"/>
    </row>
    <row r="51" spans="1:256" x14ac:dyDescent="0.2">
      <c r="A51" s="216"/>
      <c r="B51" s="217"/>
      <c r="C51" s="373"/>
      <c r="D51" s="373"/>
      <c r="E51" s="373"/>
      <c r="F51" s="373"/>
      <c r="G51" s="373"/>
      <c r="H51" s="373"/>
      <c r="I51" s="373"/>
      <c r="J51" s="373"/>
      <c r="K51" s="373"/>
      <c r="L51" s="373"/>
      <c r="M51" s="374"/>
      <c r="N51" s="125"/>
      <c r="O51" s="125"/>
      <c r="P51" s="125"/>
      <c r="Q51" s="125"/>
      <c r="R51" s="125"/>
      <c r="S51" s="125"/>
      <c r="T51" s="125"/>
      <c r="U51" s="125"/>
      <c r="V51" s="125"/>
      <c r="W51" s="125"/>
      <c r="X51" s="125"/>
      <c r="Y51" s="125"/>
      <c r="Z51" s="125"/>
    </row>
    <row r="52" spans="1:256" x14ac:dyDescent="0.2">
      <c r="A52" s="216"/>
      <c r="B52" s="217"/>
      <c r="C52" s="373"/>
      <c r="D52" s="373"/>
      <c r="E52" s="373"/>
      <c r="F52" s="373"/>
      <c r="G52" s="373"/>
      <c r="H52" s="373"/>
      <c r="I52" s="373"/>
      <c r="J52" s="373"/>
      <c r="K52" s="373"/>
      <c r="L52" s="373"/>
      <c r="M52" s="374"/>
      <c r="N52" s="125"/>
      <c r="O52" s="125"/>
      <c r="P52" s="125"/>
      <c r="Q52" s="125"/>
      <c r="R52" s="125"/>
      <c r="S52" s="125"/>
      <c r="T52" s="125"/>
      <c r="U52" s="125"/>
      <c r="V52" s="125"/>
      <c r="W52" s="125"/>
      <c r="X52" s="125"/>
      <c r="Y52" s="125"/>
      <c r="Z52" s="125"/>
    </row>
    <row r="53" spans="1:256" x14ac:dyDescent="0.2">
      <c r="A53" s="216"/>
      <c r="B53" s="217"/>
      <c r="C53" s="373"/>
      <c r="D53" s="373"/>
      <c r="E53" s="373"/>
      <c r="F53" s="373"/>
      <c r="G53" s="373"/>
      <c r="H53" s="373"/>
      <c r="I53" s="373"/>
      <c r="J53" s="373"/>
      <c r="K53" s="373"/>
      <c r="L53" s="373"/>
      <c r="M53" s="374"/>
      <c r="N53" s="125"/>
      <c r="O53" s="125"/>
      <c r="P53" s="125"/>
      <c r="Q53" s="125"/>
      <c r="R53" s="125"/>
      <c r="S53" s="125"/>
      <c r="T53" s="125"/>
      <c r="U53" s="125"/>
      <c r="V53" s="125"/>
      <c r="W53" s="125"/>
      <c r="X53" s="125"/>
      <c r="Y53" s="125"/>
      <c r="Z53" s="125"/>
    </row>
    <row r="54" spans="1:256" x14ac:dyDescent="0.2">
      <c r="A54" s="216"/>
      <c r="B54" s="217"/>
      <c r="C54" s="373"/>
      <c r="D54" s="373"/>
      <c r="E54" s="373"/>
      <c r="F54" s="373"/>
      <c r="G54" s="373"/>
      <c r="H54" s="373"/>
      <c r="I54" s="373"/>
      <c r="J54" s="373"/>
      <c r="K54" s="373"/>
      <c r="L54" s="373"/>
      <c r="M54" s="374"/>
      <c r="N54" s="125"/>
      <c r="O54" s="125"/>
      <c r="P54" s="125"/>
      <c r="Q54" s="125"/>
      <c r="R54" s="125"/>
      <c r="S54" s="125"/>
      <c r="T54" s="125"/>
      <c r="U54" s="125"/>
      <c r="V54" s="125"/>
      <c r="W54" s="125"/>
      <c r="X54" s="125"/>
      <c r="Y54" s="125"/>
      <c r="Z54" s="125"/>
    </row>
    <row r="55" spans="1:256" x14ac:dyDescent="0.2">
      <c r="A55" s="216"/>
      <c r="B55" s="217"/>
      <c r="C55" s="373"/>
      <c r="D55" s="373"/>
      <c r="E55" s="373"/>
      <c r="F55" s="373"/>
      <c r="G55" s="373"/>
      <c r="H55" s="373"/>
      <c r="I55" s="373"/>
      <c r="J55" s="373"/>
      <c r="K55" s="373"/>
      <c r="L55" s="373"/>
      <c r="M55" s="374"/>
      <c r="N55" s="125"/>
      <c r="O55" s="125"/>
      <c r="P55" s="125"/>
      <c r="Q55" s="125"/>
      <c r="R55" s="125"/>
      <c r="S55" s="125"/>
      <c r="T55" s="125"/>
      <c r="U55" s="125"/>
      <c r="V55" s="125"/>
      <c r="W55" s="125"/>
      <c r="X55" s="125"/>
      <c r="Y55" s="125"/>
      <c r="Z55" s="125"/>
    </row>
    <row r="56" spans="1:256" x14ac:dyDescent="0.2">
      <c r="A56" s="216"/>
      <c r="B56" s="217"/>
      <c r="C56" s="373"/>
      <c r="D56" s="373"/>
      <c r="E56" s="373"/>
      <c r="F56" s="373"/>
      <c r="G56" s="373"/>
      <c r="H56" s="373"/>
      <c r="I56" s="373"/>
      <c r="J56" s="373"/>
      <c r="K56" s="373"/>
      <c r="L56" s="373"/>
      <c r="M56" s="374"/>
      <c r="N56" s="125"/>
      <c r="O56" s="125"/>
      <c r="P56" s="125"/>
      <c r="Q56" s="125"/>
      <c r="R56" s="125"/>
      <c r="S56" s="125"/>
      <c r="T56" s="125"/>
      <c r="U56" s="125"/>
      <c r="V56" s="125"/>
      <c r="W56" s="125"/>
      <c r="X56" s="125"/>
      <c r="Y56" s="125"/>
      <c r="Z56" s="125"/>
    </row>
    <row r="57" spans="1:256" x14ac:dyDescent="0.2">
      <c r="A57" s="216"/>
      <c r="B57" s="217"/>
      <c r="C57" s="373"/>
      <c r="D57" s="373"/>
      <c r="E57" s="373"/>
      <c r="F57" s="373"/>
      <c r="G57" s="373"/>
      <c r="H57" s="373"/>
      <c r="I57" s="373"/>
      <c r="J57" s="373"/>
      <c r="K57" s="373"/>
      <c r="L57" s="373"/>
      <c r="M57" s="374"/>
      <c r="N57" s="125"/>
      <c r="O57" s="125"/>
      <c r="P57" s="125"/>
      <c r="Q57" s="125"/>
      <c r="R57" s="125"/>
      <c r="S57" s="125"/>
      <c r="T57" s="125"/>
      <c r="U57" s="125"/>
      <c r="V57" s="125"/>
      <c r="W57" s="125"/>
      <c r="X57" s="125"/>
      <c r="Y57" s="125"/>
      <c r="Z57" s="125"/>
    </row>
    <row r="58" spans="1:256" x14ac:dyDescent="0.2">
      <c r="A58" s="216"/>
      <c r="B58" s="217"/>
      <c r="C58" s="373"/>
      <c r="D58" s="373"/>
      <c r="E58" s="373"/>
      <c r="F58" s="373"/>
      <c r="G58" s="373"/>
      <c r="H58" s="373"/>
      <c r="I58" s="373"/>
      <c r="J58" s="373"/>
      <c r="K58" s="373"/>
      <c r="L58" s="373"/>
      <c r="M58" s="374"/>
      <c r="N58" s="125"/>
      <c r="O58" s="125"/>
      <c r="P58" s="125"/>
      <c r="Q58" s="125"/>
      <c r="R58" s="125"/>
      <c r="S58" s="125"/>
      <c r="T58" s="125"/>
      <c r="U58" s="125"/>
      <c r="V58" s="125"/>
      <c r="W58" s="125"/>
      <c r="X58" s="125"/>
      <c r="Y58" s="125"/>
      <c r="Z58" s="125"/>
    </row>
    <row r="59" spans="1:256" x14ac:dyDescent="0.2">
      <c r="A59" s="216"/>
      <c r="B59" s="217"/>
      <c r="C59" s="373"/>
      <c r="D59" s="373"/>
      <c r="E59" s="373"/>
      <c r="F59" s="373"/>
      <c r="G59" s="373"/>
      <c r="H59" s="373"/>
      <c r="I59" s="373"/>
      <c r="J59" s="373"/>
      <c r="K59" s="373"/>
      <c r="L59" s="373"/>
      <c r="M59" s="374"/>
    </row>
    <row r="60" spans="1:256" x14ac:dyDescent="0.2">
      <c r="A60" s="216"/>
      <c r="B60" s="217"/>
      <c r="C60" s="373"/>
      <c r="D60" s="373"/>
      <c r="E60" s="373"/>
      <c r="F60" s="373"/>
      <c r="G60" s="373"/>
      <c r="H60" s="373"/>
      <c r="I60" s="373"/>
      <c r="J60" s="373"/>
      <c r="K60" s="373"/>
      <c r="L60" s="373"/>
      <c r="M60" s="374"/>
    </row>
    <row r="61" spans="1:256" x14ac:dyDescent="0.2">
      <c r="A61" s="216"/>
      <c r="B61" s="217"/>
      <c r="C61" s="373"/>
      <c r="D61" s="373"/>
      <c r="E61" s="373"/>
      <c r="F61" s="373"/>
      <c r="G61" s="373"/>
      <c r="H61" s="373"/>
      <c r="I61" s="373"/>
      <c r="J61" s="373"/>
      <c r="K61" s="373"/>
      <c r="L61" s="373"/>
      <c r="M61" s="374"/>
    </row>
    <row r="62" spans="1:256" x14ac:dyDescent="0.2">
      <c r="A62" s="216"/>
      <c r="B62" s="217"/>
      <c r="C62" s="373"/>
      <c r="D62" s="373"/>
      <c r="E62" s="373"/>
      <c r="F62" s="373"/>
      <c r="G62" s="373"/>
      <c r="H62" s="373"/>
      <c r="I62" s="373"/>
      <c r="J62" s="373"/>
      <c r="K62" s="373"/>
      <c r="L62" s="373"/>
      <c r="M62" s="374"/>
    </row>
    <row r="63" spans="1:256" x14ac:dyDescent="0.2">
      <c r="A63" s="216"/>
      <c r="B63" s="217"/>
      <c r="C63" s="373"/>
      <c r="D63" s="373"/>
      <c r="E63" s="373"/>
      <c r="F63" s="373"/>
      <c r="G63" s="373"/>
      <c r="H63" s="373"/>
      <c r="I63" s="373"/>
      <c r="J63" s="373"/>
      <c r="K63" s="373"/>
      <c r="L63" s="373"/>
      <c r="M63" s="374"/>
    </row>
    <row r="64" spans="1:256" x14ac:dyDescent="0.2">
      <c r="A64" s="216"/>
      <c r="B64" s="217"/>
      <c r="C64" s="373"/>
      <c r="D64" s="373"/>
      <c r="E64" s="373"/>
      <c r="F64" s="373"/>
      <c r="G64" s="373"/>
      <c r="H64" s="373"/>
      <c r="I64" s="373"/>
      <c r="J64" s="373"/>
      <c r="K64" s="373"/>
      <c r="L64" s="373"/>
      <c r="M64" s="374"/>
    </row>
    <row r="65" spans="1:13" x14ac:dyDescent="0.2">
      <c r="A65" s="216"/>
      <c r="B65" s="217"/>
      <c r="C65" s="373"/>
      <c r="D65" s="373"/>
      <c r="E65" s="373"/>
      <c r="F65" s="373"/>
      <c r="G65" s="373"/>
      <c r="H65" s="373"/>
      <c r="I65" s="373"/>
      <c r="J65" s="373"/>
      <c r="K65" s="373"/>
      <c r="L65" s="373"/>
      <c r="M65" s="374"/>
    </row>
    <row r="66" spans="1:13" x14ac:dyDescent="0.2">
      <c r="A66" s="216"/>
      <c r="B66" s="217"/>
      <c r="C66" s="373"/>
      <c r="D66" s="373"/>
      <c r="E66" s="373"/>
      <c r="F66" s="373"/>
      <c r="G66" s="373"/>
      <c r="H66" s="373"/>
      <c r="I66" s="373"/>
      <c r="J66" s="373"/>
      <c r="K66" s="373"/>
      <c r="L66" s="373"/>
      <c r="M66" s="374"/>
    </row>
    <row r="67" spans="1:13" x14ac:dyDescent="0.2">
      <c r="A67" s="216"/>
      <c r="B67" s="217"/>
      <c r="C67" s="373"/>
      <c r="D67" s="373"/>
      <c r="E67" s="373"/>
      <c r="F67" s="373"/>
      <c r="G67" s="373"/>
      <c r="H67" s="373"/>
      <c r="I67" s="373"/>
      <c r="J67" s="373"/>
      <c r="K67" s="373"/>
      <c r="L67" s="373"/>
      <c r="M67" s="374"/>
    </row>
    <row r="68" spans="1:13" x14ac:dyDescent="0.2">
      <c r="A68" s="216"/>
      <c r="B68" s="217"/>
      <c r="C68" s="373"/>
      <c r="D68" s="373"/>
      <c r="E68" s="373"/>
      <c r="F68" s="373"/>
      <c r="G68" s="373"/>
      <c r="H68" s="373"/>
      <c r="I68" s="373"/>
      <c r="J68" s="373"/>
      <c r="K68" s="373"/>
      <c r="L68" s="373"/>
      <c r="M68" s="374"/>
    </row>
    <row r="69" spans="1:13" x14ac:dyDescent="0.2">
      <c r="A69" s="216"/>
      <c r="B69" s="217"/>
      <c r="C69" s="373"/>
      <c r="D69" s="373"/>
      <c r="E69" s="373"/>
      <c r="F69" s="373"/>
      <c r="G69" s="373"/>
      <c r="H69" s="373"/>
      <c r="I69" s="373"/>
      <c r="J69" s="373"/>
      <c r="K69" s="373"/>
      <c r="L69" s="373"/>
      <c r="M69" s="374"/>
    </row>
    <row r="70" spans="1:13" ht="12" thickBot="1" x14ac:dyDescent="0.25">
      <c r="A70" s="218"/>
      <c r="B70" s="219"/>
      <c r="C70" s="375"/>
      <c r="D70" s="375"/>
      <c r="E70" s="375"/>
      <c r="F70" s="375"/>
      <c r="G70" s="375"/>
      <c r="H70" s="375"/>
      <c r="I70" s="375"/>
      <c r="J70" s="375"/>
      <c r="K70" s="375"/>
      <c r="L70" s="375"/>
      <c r="M70" s="376"/>
    </row>
    <row r="71" spans="1:13" ht="12" thickTop="1" x14ac:dyDescent="0.2">
      <c r="A71" s="206"/>
      <c r="B71" s="206"/>
      <c r="C71" s="207"/>
      <c r="D71" s="207"/>
      <c r="E71" s="207"/>
      <c r="F71" s="207"/>
      <c r="G71" s="207"/>
      <c r="H71" s="207"/>
      <c r="I71" s="207"/>
      <c r="J71" s="207"/>
      <c r="K71" s="207"/>
      <c r="L71" s="207"/>
    </row>
    <row r="72" spans="1:13" ht="12.75" x14ac:dyDescent="0.2">
      <c r="A72" s="377" t="s">
        <v>832</v>
      </c>
      <c r="B72" s="377"/>
      <c r="C72" s="377"/>
      <c r="D72" s="377"/>
      <c r="E72" s="377"/>
      <c r="F72" s="125"/>
      <c r="G72" s="125"/>
      <c r="H72" s="125"/>
      <c r="I72" s="125"/>
      <c r="J72" s="125"/>
      <c r="K72" s="125"/>
      <c r="L72" s="125"/>
      <c r="M72" s="125"/>
    </row>
    <row r="73" spans="1:13" x14ac:dyDescent="0.2">
      <c r="A73" s="208" t="s">
        <v>764</v>
      </c>
      <c r="B73" s="208" t="s">
        <v>765</v>
      </c>
      <c r="C73" s="372"/>
      <c r="D73" s="372"/>
      <c r="E73" s="372"/>
      <c r="F73" s="372"/>
      <c r="G73" s="372"/>
      <c r="H73" s="372"/>
      <c r="I73" s="372"/>
      <c r="J73" s="372"/>
      <c r="K73" s="372"/>
      <c r="L73" s="372"/>
      <c r="M73" s="372"/>
    </row>
    <row r="74" spans="1:13" x14ac:dyDescent="0.2">
      <c r="A74" s="209"/>
      <c r="B74" s="209"/>
      <c r="C74" s="372"/>
      <c r="D74" s="372"/>
      <c r="E74" s="372"/>
      <c r="F74" s="372"/>
      <c r="G74" s="372"/>
      <c r="H74" s="372"/>
      <c r="I74" s="372"/>
      <c r="J74" s="372"/>
      <c r="K74" s="372"/>
      <c r="L74" s="372"/>
      <c r="M74" s="372"/>
    </row>
    <row r="75" spans="1:13" x14ac:dyDescent="0.2">
      <c r="A75" s="209"/>
      <c r="B75" s="209"/>
      <c r="C75" s="372"/>
      <c r="D75" s="372"/>
      <c r="E75" s="372"/>
      <c r="F75" s="372"/>
      <c r="G75" s="372"/>
      <c r="H75" s="372"/>
      <c r="I75" s="372"/>
      <c r="J75" s="372"/>
      <c r="K75" s="372"/>
      <c r="L75" s="372"/>
      <c r="M75" s="372"/>
    </row>
    <row r="76" spans="1:13" x14ac:dyDescent="0.2">
      <c r="A76" s="209"/>
      <c r="B76" s="209"/>
      <c r="C76" s="372"/>
      <c r="D76" s="372"/>
      <c r="E76" s="372"/>
      <c r="F76" s="372"/>
      <c r="G76" s="372"/>
      <c r="H76" s="372"/>
      <c r="I76" s="372"/>
      <c r="J76" s="372"/>
      <c r="K76" s="372"/>
      <c r="L76" s="372"/>
      <c r="M76" s="372"/>
    </row>
    <row r="77" spans="1:13" x14ac:dyDescent="0.2">
      <c r="A77" s="209"/>
      <c r="B77" s="209"/>
      <c r="C77" s="372"/>
      <c r="D77" s="372"/>
      <c r="E77" s="372"/>
      <c r="F77" s="372"/>
      <c r="G77" s="372"/>
      <c r="H77" s="372"/>
      <c r="I77" s="372"/>
      <c r="J77" s="372"/>
      <c r="K77" s="372"/>
      <c r="L77" s="372"/>
      <c r="M77" s="372"/>
    </row>
    <row r="78" spans="1:13" x14ac:dyDescent="0.2">
      <c r="A78" s="209"/>
      <c r="B78" s="209"/>
      <c r="C78" s="372"/>
      <c r="D78" s="372"/>
      <c r="E78" s="372"/>
      <c r="F78" s="372"/>
      <c r="G78" s="372"/>
      <c r="H78" s="372"/>
      <c r="I78" s="372"/>
      <c r="J78" s="372"/>
      <c r="K78" s="372"/>
      <c r="L78" s="372"/>
      <c r="M78" s="372"/>
    </row>
    <row r="79" spans="1:13" x14ac:dyDescent="0.2">
      <c r="A79" s="209"/>
      <c r="B79" s="209"/>
      <c r="C79" s="372"/>
      <c r="D79" s="372"/>
      <c r="E79" s="372"/>
      <c r="F79" s="372"/>
      <c r="G79" s="372"/>
      <c r="H79" s="372"/>
      <c r="I79" s="372"/>
      <c r="J79" s="372"/>
      <c r="K79" s="372"/>
      <c r="L79" s="372"/>
      <c r="M79" s="372"/>
    </row>
    <row r="80" spans="1:13" x14ac:dyDescent="0.2">
      <c r="A80" s="209"/>
      <c r="B80" s="209"/>
      <c r="C80" s="372"/>
      <c r="D80" s="372"/>
      <c r="E80" s="372"/>
      <c r="F80" s="372"/>
      <c r="G80" s="372"/>
      <c r="H80" s="372"/>
      <c r="I80" s="372"/>
      <c r="J80" s="372"/>
      <c r="K80" s="372"/>
      <c r="L80" s="372"/>
      <c r="M80" s="372"/>
    </row>
    <row r="81" spans="1:13" x14ac:dyDescent="0.2">
      <c r="A81" s="209"/>
      <c r="B81" s="209"/>
      <c r="C81" s="372"/>
      <c r="D81" s="372"/>
      <c r="E81" s="372"/>
      <c r="F81" s="372"/>
      <c r="G81" s="372"/>
      <c r="H81" s="372"/>
      <c r="I81" s="372"/>
      <c r="J81" s="372"/>
      <c r="K81" s="372"/>
      <c r="L81" s="372"/>
      <c r="M81" s="372"/>
    </row>
    <row r="82" spans="1:13" x14ac:dyDescent="0.2">
      <c r="A82" s="209"/>
      <c r="B82" s="209"/>
      <c r="C82" s="372"/>
      <c r="D82" s="372"/>
      <c r="E82" s="372"/>
      <c r="F82" s="372"/>
      <c r="G82" s="372"/>
      <c r="H82" s="372"/>
      <c r="I82" s="372"/>
      <c r="J82" s="372"/>
      <c r="K82" s="372"/>
      <c r="L82" s="372"/>
      <c r="M82" s="372"/>
    </row>
    <row r="83" spans="1:13" x14ac:dyDescent="0.2">
      <c r="A83" s="209"/>
      <c r="B83" s="209"/>
      <c r="C83" s="372"/>
      <c r="D83" s="372"/>
      <c r="E83" s="372"/>
      <c r="F83" s="372"/>
      <c r="G83" s="372"/>
      <c r="H83" s="372"/>
      <c r="I83" s="372"/>
      <c r="J83" s="372"/>
      <c r="K83" s="372"/>
      <c r="L83" s="372"/>
      <c r="M83" s="372"/>
    </row>
    <row r="84" spans="1:13" x14ac:dyDescent="0.2">
      <c r="A84" s="209"/>
      <c r="B84" s="209"/>
      <c r="C84" s="372"/>
      <c r="D84" s="372"/>
      <c r="E84" s="372"/>
      <c r="F84" s="372"/>
      <c r="G84" s="372"/>
      <c r="H84" s="372"/>
      <c r="I84" s="372"/>
      <c r="J84" s="372"/>
      <c r="K84" s="372"/>
      <c r="L84" s="372"/>
      <c r="M84" s="372"/>
    </row>
    <row r="85" spans="1:13" x14ac:dyDescent="0.2">
      <c r="A85" s="209"/>
      <c r="B85" s="209"/>
      <c r="C85" s="372"/>
      <c r="D85" s="372"/>
      <c r="E85" s="372"/>
      <c r="F85" s="372"/>
      <c r="G85" s="372"/>
      <c r="H85" s="372"/>
      <c r="I85" s="372"/>
      <c r="J85" s="372"/>
      <c r="K85" s="372"/>
      <c r="L85" s="372"/>
      <c r="M85" s="372"/>
    </row>
    <row r="86" spans="1:13" x14ac:dyDescent="0.2">
      <c r="A86" s="209"/>
      <c r="B86" s="209"/>
      <c r="C86" s="372"/>
      <c r="D86" s="372"/>
      <c r="E86" s="372"/>
      <c r="F86" s="372"/>
      <c r="G86" s="372"/>
      <c r="H86" s="372"/>
      <c r="I86" s="372"/>
      <c r="J86" s="372"/>
      <c r="K86" s="372"/>
      <c r="L86" s="372"/>
      <c r="M86" s="372"/>
    </row>
    <row r="87" spans="1:13" x14ac:dyDescent="0.2">
      <c r="A87" s="209"/>
      <c r="B87" s="209"/>
      <c r="C87" s="372"/>
      <c r="D87" s="372"/>
      <c r="E87" s="372"/>
      <c r="F87" s="372"/>
      <c r="G87" s="372"/>
      <c r="H87" s="372"/>
      <c r="I87" s="372"/>
      <c r="J87" s="372"/>
      <c r="K87" s="372"/>
      <c r="L87" s="372"/>
      <c r="M87" s="372"/>
    </row>
    <row r="88" spans="1:13" x14ac:dyDescent="0.2">
      <c r="A88" s="209"/>
      <c r="B88" s="209"/>
      <c r="C88" s="372"/>
      <c r="D88" s="372"/>
      <c r="E88" s="372"/>
      <c r="F88" s="372"/>
      <c r="G88" s="372"/>
      <c r="H88" s="372"/>
      <c r="I88" s="372"/>
      <c r="J88" s="372"/>
      <c r="K88" s="372"/>
      <c r="L88" s="372"/>
      <c r="M88" s="372"/>
    </row>
    <row r="89" spans="1:13" x14ac:dyDescent="0.2">
      <c r="A89" s="209"/>
      <c r="B89" s="209"/>
      <c r="C89" s="372"/>
      <c r="D89" s="372"/>
      <c r="E89" s="372"/>
      <c r="F89" s="372"/>
      <c r="G89" s="372"/>
      <c r="H89" s="372"/>
      <c r="I89" s="372"/>
      <c r="J89" s="372"/>
      <c r="K89" s="372"/>
      <c r="L89" s="372"/>
      <c r="M89" s="372"/>
    </row>
    <row r="90" spans="1:13" x14ac:dyDescent="0.2">
      <c r="A90" s="209"/>
      <c r="B90" s="209"/>
      <c r="C90" s="372"/>
      <c r="D90" s="372"/>
      <c r="E90" s="372"/>
      <c r="F90" s="372"/>
      <c r="G90" s="372"/>
      <c r="H90" s="372"/>
      <c r="I90" s="372"/>
      <c r="J90" s="372"/>
      <c r="K90" s="372"/>
      <c r="L90" s="372"/>
      <c r="M90" s="372"/>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2" t="s">
        <v>907</v>
      </c>
      <c r="B2" s="282" t="s">
        <v>908</v>
      </c>
      <c r="C2" s="282" t="s">
        <v>910</v>
      </c>
      <c r="D2" s="282" t="s">
        <v>909</v>
      </c>
      <c r="E2" s="283" t="s">
        <v>1538</v>
      </c>
      <c r="G2" s="282" t="s">
        <v>907</v>
      </c>
      <c r="H2" s="282" t="s">
        <v>908</v>
      </c>
      <c r="I2" s="282" t="s">
        <v>910</v>
      </c>
      <c r="J2" s="282" t="s">
        <v>909</v>
      </c>
      <c r="K2" s="283" t="s">
        <v>1538</v>
      </c>
      <c r="M2" s="282" t="s">
        <v>907</v>
      </c>
      <c r="N2" s="282" t="s">
        <v>908</v>
      </c>
      <c r="O2" s="282" t="s">
        <v>910</v>
      </c>
      <c r="P2" s="282" t="s">
        <v>909</v>
      </c>
      <c r="Q2" s="283" t="s">
        <v>1538</v>
      </c>
    </row>
    <row r="3" spans="1:18" ht="15" x14ac:dyDescent="0.25">
      <c r="A3" s="306">
        <v>999</v>
      </c>
      <c r="B3" s="307" t="s">
        <v>1555</v>
      </c>
      <c r="C3" s="307" t="s">
        <v>1555</v>
      </c>
      <c r="D3" s="307">
        <v>99999</v>
      </c>
      <c r="E3" s="307" t="s">
        <v>61</v>
      </c>
      <c r="F3" s="286" t="b">
        <f t="shared" ref="F3" si="0">D3=D4</f>
        <v>0</v>
      </c>
      <c r="G3" s="308">
        <v>999</v>
      </c>
      <c r="H3" s="308" t="s">
        <v>1555</v>
      </c>
      <c r="I3" s="309" t="s">
        <v>1555</v>
      </c>
      <c r="J3" s="309">
        <v>99999</v>
      </c>
      <c r="K3" s="309" t="s">
        <v>1539</v>
      </c>
      <c r="L3" s="286" t="b">
        <f>I3=I4</f>
        <v>0</v>
      </c>
      <c r="M3" s="310">
        <v>999</v>
      </c>
      <c r="N3" s="311" t="s">
        <v>1555</v>
      </c>
      <c r="O3" s="311" t="s">
        <v>1555</v>
      </c>
      <c r="P3" s="311">
        <v>99999</v>
      </c>
      <c r="Q3" s="311" t="s">
        <v>1540</v>
      </c>
      <c r="R3" s="286" t="b">
        <f>P3=P4</f>
        <v>0</v>
      </c>
    </row>
    <row r="4" spans="1:18" x14ac:dyDescent="0.2">
      <c r="A4" s="335">
        <v>111</v>
      </c>
      <c r="B4" s="335" t="s">
        <v>970</v>
      </c>
      <c r="C4" s="335" t="s">
        <v>972</v>
      </c>
      <c r="D4" s="335">
        <v>20240</v>
      </c>
      <c r="E4" s="335" t="s">
        <v>61</v>
      </c>
      <c r="F4" s="286" t="b">
        <f>C4=C3</f>
        <v>0</v>
      </c>
      <c r="G4" s="335">
        <v>113</v>
      </c>
      <c r="H4" s="335" t="s">
        <v>990</v>
      </c>
      <c r="I4" s="335" t="s">
        <v>1636</v>
      </c>
      <c r="J4" s="335">
        <v>27010</v>
      </c>
      <c r="K4" s="335" t="s">
        <v>1539</v>
      </c>
      <c r="L4" s="286" t="b">
        <f>I4=I3</f>
        <v>0</v>
      </c>
      <c r="M4" s="336">
        <v>725</v>
      </c>
      <c r="N4" s="336" t="s">
        <v>1513</v>
      </c>
      <c r="O4" s="336" t="s">
        <v>1514</v>
      </c>
      <c r="P4" s="336">
        <v>28615</v>
      </c>
      <c r="Q4" s="336" t="s">
        <v>1540</v>
      </c>
      <c r="R4" s="286" t="b">
        <f>O4=O3</f>
        <v>0</v>
      </c>
    </row>
    <row r="5" spans="1:18" x14ac:dyDescent="0.2">
      <c r="A5" s="336">
        <v>174</v>
      </c>
      <c r="B5" s="336" t="s">
        <v>1035</v>
      </c>
      <c r="C5" s="336" t="s">
        <v>1036</v>
      </c>
      <c r="D5" s="336">
        <v>22960</v>
      </c>
      <c r="E5" s="336" t="s">
        <v>61</v>
      </c>
      <c r="F5" s="286" t="b">
        <f t="shared" ref="F5:F68" si="1">C5=C4</f>
        <v>0</v>
      </c>
      <c r="G5" s="336">
        <v>725</v>
      </c>
      <c r="H5" s="336" t="s">
        <v>1513</v>
      </c>
      <c r="I5" s="336" t="s">
        <v>1515</v>
      </c>
      <c r="J5" s="336">
        <v>28580</v>
      </c>
      <c r="K5" s="336" t="s">
        <v>1539</v>
      </c>
      <c r="L5" s="286" t="b">
        <f t="shared" ref="L5:L68" si="2">I5=I4</f>
        <v>0</v>
      </c>
      <c r="M5" s="336">
        <v>267</v>
      </c>
      <c r="N5" s="336" t="s">
        <v>1132</v>
      </c>
      <c r="O5" s="336" t="s">
        <v>1134</v>
      </c>
      <c r="P5" s="336">
        <v>21050</v>
      </c>
      <c r="Q5" s="336" t="s">
        <v>1540</v>
      </c>
      <c r="R5" s="286" t="b">
        <f t="shared" ref="R5:R68" si="3">O5=O4</f>
        <v>0</v>
      </c>
    </row>
    <row r="6" spans="1:18" x14ac:dyDescent="0.2">
      <c r="A6" s="335">
        <v>225</v>
      </c>
      <c r="B6" s="335" t="s">
        <v>1090</v>
      </c>
      <c r="C6" s="335" t="s">
        <v>1092</v>
      </c>
      <c r="D6" s="335">
        <v>20795</v>
      </c>
      <c r="E6" s="335" t="s">
        <v>61</v>
      </c>
      <c r="F6" s="286" t="b">
        <f t="shared" si="1"/>
        <v>0</v>
      </c>
      <c r="G6" s="336">
        <v>17</v>
      </c>
      <c r="H6" s="336" t="s">
        <v>916</v>
      </c>
      <c r="I6" s="336" t="s">
        <v>917</v>
      </c>
      <c r="J6" s="336">
        <v>21745</v>
      </c>
      <c r="K6" s="336" t="s">
        <v>1539</v>
      </c>
      <c r="L6" s="286" t="b">
        <f t="shared" si="2"/>
        <v>0</v>
      </c>
      <c r="M6" s="336">
        <v>41</v>
      </c>
      <c r="N6" s="336" t="s">
        <v>935</v>
      </c>
      <c r="O6" s="336" t="s">
        <v>939</v>
      </c>
      <c r="P6" s="336">
        <v>28555</v>
      </c>
      <c r="Q6" s="336" t="s">
        <v>1540</v>
      </c>
      <c r="R6" s="286" t="b">
        <f t="shared" si="3"/>
        <v>0</v>
      </c>
    </row>
    <row r="7" spans="1:18" x14ac:dyDescent="0.2">
      <c r="A7" s="336">
        <v>9</v>
      </c>
      <c r="B7" s="336" t="s">
        <v>911</v>
      </c>
      <c r="C7" s="336" t="s">
        <v>913</v>
      </c>
      <c r="D7" s="336">
        <v>22580</v>
      </c>
      <c r="E7" s="336" t="s">
        <v>61</v>
      </c>
      <c r="F7" s="286" t="b">
        <f t="shared" si="1"/>
        <v>0</v>
      </c>
      <c r="G7" s="335">
        <v>33</v>
      </c>
      <c r="H7" s="335" t="s">
        <v>927</v>
      </c>
      <c r="I7" s="335" t="s">
        <v>928</v>
      </c>
      <c r="J7" s="335">
        <v>22030</v>
      </c>
      <c r="K7" s="335" t="s">
        <v>1539</v>
      </c>
      <c r="L7" s="286" t="b">
        <f t="shared" si="2"/>
        <v>0</v>
      </c>
      <c r="M7" s="335">
        <v>486</v>
      </c>
      <c r="N7" s="335" t="s">
        <v>1413</v>
      </c>
      <c r="O7" s="335" t="s">
        <v>1416</v>
      </c>
      <c r="P7" s="335">
        <v>22145</v>
      </c>
      <c r="Q7" s="335" t="s">
        <v>1540</v>
      </c>
      <c r="R7" s="286" t="b">
        <f t="shared" si="3"/>
        <v>0</v>
      </c>
    </row>
    <row r="8" spans="1:18" x14ac:dyDescent="0.2">
      <c r="A8" s="335">
        <v>174</v>
      </c>
      <c r="B8" s="335" t="s">
        <v>1035</v>
      </c>
      <c r="C8" s="335" t="s">
        <v>1037</v>
      </c>
      <c r="D8" s="335">
        <v>22965</v>
      </c>
      <c r="E8" s="335" t="s">
        <v>61</v>
      </c>
      <c r="F8" s="286" t="b">
        <f t="shared" si="1"/>
        <v>0</v>
      </c>
      <c r="G8" s="335">
        <v>486</v>
      </c>
      <c r="H8" s="335" t="s">
        <v>1413</v>
      </c>
      <c r="I8" s="335" t="s">
        <v>1417</v>
      </c>
      <c r="J8" s="335">
        <v>22150</v>
      </c>
      <c r="K8" s="335" t="s">
        <v>1539</v>
      </c>
      <c r="L8" s="286" t="b">
        <f t="shared" si="2"/>
        <v>0</v>
      </c>
      <c r="M8" s="335">
        <v>51</v>
      </c>
      <c r="N8" s="335" t="s">
        <v>941</v>
      </c>
      <c r="O8" s="335" t="s">
        <v>943</v>
      </c>
      <c r="P8" s="335">
        <v>20050</v>
      </c>
      <c r="Q8" s="335" t="s">
        <v>1540</v>
      </c>
      <c r="R8" s="286" t="b">
        <f t="shared" si="3"/>
        <v>0</v>
      </c>
    </row>
    <row r="9" spans="1:18" x14ac:dyDescent="0.2">
      <c r="A9" s="336">
        <v>15</v>
      </c>
      <c r="B9" s="336" t="s">
        <v>914</v>
      </c>
      <c r="C9" s="336" t="s">
        <v>915</v>
      </c>
      <c r="D9" s="336">
        <v>22480</v>
      </c>
      <c r="E9" s="336" t="s">
        <v>61</v>
      </c>
      <c r="F9" s="286" t="b">
        <f t="shared" si="1"/>
        <v>0</v>
      </c>
      <c r="G9" s="335">
        <v>51</v>
      </c>
      <c r="H9" s="335" t="s">
        <v>941</v>
      </c>
      <c r="I9" s="335" t="s">
        <v>942</v>
      </c>
      <c r="J9" s="335">
        <v>20045</v>
      </c>
      <c r="K9" s="335" t="s">
        <v>1539</v>
      </c>
      <c r="L9" s="286" t="b">
        <f t="shared" si="2"/>
        <v>0</v>
      </c>
      <c r="M9" s="336">
        <v>57</v>
      </c>
      <c r="N9" s="336" t="s">
        <v>946</v>
      </c>
      <c r="O9" s="336" t="s">
        <v>949</v>
      </c>
      <c r="P9" s="336">
        <v>27375</v>
      </c>
      <c r="Q9" s="336" t="s">
        <v>1540</v>
      </c>
      <c r="R9" s="286" t="b">
        <f t="shared" si="3"/>
        <v>0</v>
      </c>
    </row>
    <row r="10" spans="1:18" x14ac:dyDescent="0.2">
      <c r="A10" s="336">
        <v>371</v>
      </c>
      <c r="B10" s="336" t="s">
        <v>1286</v>
      </c>
      <c r="C10" s="336" t="s">
        <v>1302</v>
      </c>
      <c r="D10" s="336">
        <v>21940</v>
      </c>
      <c r="E10" s="336" t="s">
        <v>61</v>
      </c>
      <c r="F10" s="286" t="b">
        <f t="shared" si="1"/>
        <v>0</v>
      </c>
      <c r="G10" s="336">
        <v>57</v>
      </c>
      <c r="H10" s="336" t="s">
        <v>946</v>
      </c>
      <c r="I10" s="336" t="s">
        <v>947</v>
      </c>
      <c r="J10" s="336">
        <v>20675</v>
      </c>
      <c r="K10" s="336" t="s">
        <v>1539</v>
      </c>
      <c r="L10" s="286" t="b">
        <f t="shared" si="2"/>
        <v>0</v>
      </c>
      <c r="M10" s="335">
        <v>461</v>
      </c>
      <c r="N10" s="335" t="s">
        <v>1379</v>
      </c>
      <c r="O10" s="335" t="s">
        <v>1383</v>
      </c>
      <c r="P10" s="335">
        <v>22675</v>
      </c>
      <c r="Q10" s="335" t="s">
        <v>1540</v>
      </c>
      <c r="R10" s="286" t="b">
        <f t="shared" si="3"/>
        <v>0</v>
      </c>
    </row>
    <row r="11" spans="1:18" x14ac:dyDescent="0.2">
      <c r="A11" s="336">
        <v>19</v>
      </c>
      <c r="B11" s="336" t="s">
        <v>919</v>
      </c>
      <c r="C11" s="336" t="s">
        <v>920</v>
      </c>
      <c r="D11" s="336">
        <v>22130</v>
      </c>
      <c r="E11" s="336" t="s">
        <v>61</v>
      </c>
      <c r="F11" s="286" t="b">
        <f t="shared" si="1"/>
        <v>0</v>
      </c>
      <c r="G11" s="335">
        <v>342</v>
      </c>
      <c r="H11" s="335" t="s">
        <v>1235</v>
      </c>
      <c r="I11" s="335" t="s">
        <v>1236</v>
      </c>
      <c r="J11" s="335">
        <v>26685</v>
      </c>
      <c r="K11" s="335" t="s">
        <v>1539</v>
      </c>
      <c r="L11" s="286" t="b">
        <f t="shared" si="2"/>
        <v>0</v>
      </c>
      <c r="M11" s="336">
        <v>315</v>
      </c>
      <c r="N11" s="336" t="s">
        <v>1193</v>
      </c>
      <c r="O11" s="336" t="s">
        <v>1195</v>
      </c>
      <c r="P11" s="336">
        <v>27715</v>
      </c>
      <c r="Q11" s="336" t="s">
        <v>1540</v>
      </c>
      <c r="R11" s="286" t="b">
        <f t="shared" si="3"/>
        <v>0</v>
      </c>
    </row>
    <row r="12" spans="1:18" x14ac:dyDescent="0.2">
      <c r="A12" s="336">
        <v>112</v>
      </c>
      <c r="B12" s="336" t="s">
        <v>978</v>
      </c>
      <c r="C12" s="336" t="s">
        <v>980</v>
      </c>
      <c r="D12" s="336">
        <v>22215</v>
      </c>
      <c r="E12" s="336" t="s">
        <v>61</v>
      </c>
      <c r="F12" s="286" t="b">
        <f t="shared" si="1"/>
        <v>0</v>
      </c>
      <c r="G12" s="335">
        <v>101</v>
      </c>
      <c r="H12" s="335" t="s">
        <v>964</v>
      </c>
      <c r="I12" s="335" t="s">
        <v>965</v>
      </c>
      <c r="J12" s="335">
        <v>20115</v>
      </c>
      <c r="K12" s="335" t="s">
        <v>1539</v>
      </c>
      <c r="L12" s="286" t="b">
        <f t="shared" si="2"/>
        <v>0</v>
      </c>
      <c r="M12" s="336">
        <v>707</v>
      </c>
      <c r="N12" s="336" t="s">
        <v>1501</v>
      </c>
      <c r="O12" s="336" t="s">
        <v>1501</v>
      </c>
      <c r="P12" s="336">
        <v>28455</v>
      </c>
      <c r="Q12" s="336" t="s">
        <v>1540</v>
      </c>
      <c r="R12" s="286" t="b">
        <f t="shared" si="3"/>
        <v>0</v>
      </c>
    </row>
    <row r="13" spans="1:18" x14ac:dyDescent="0.2">
      <c r="A13" s="335">
        <v>9</v>
      </c>
      <c r="B13" s="335" t="s">
        <v>911</v>
      </c>
      <c r="C13" s="335" t="s">
        <v>912</v>
      </c>
      <c r="D13" s="335">
        <v>22575</v>
      </c>
      <c r="E13" s="335" t="s">
        <v>61</v>
      </c>
      <c r="F13" s="286" t="b">
        <f t="shared" si="1"/>
        <v>0</v>
      </c>
      <c r="G13" s="336">
        <v>172</v>
      </c>
      <c r="H13" s="336" t="s">
        <v>1029</v>
      </c>
      <c r="I13" s="336" t="s">
        <v>1030</v>
      </c>
      <c r="J13" s="336">
        <v>20590</v>
      </c>
      <c r="K13" s="336" t="s">
        <v>1539</v>
      </c>
      <c r="L13" s="286" t="b">
        <f t="shared" si="2"/>
        <v>0</v>
      </c>
      <c r="M13" s="335">
        <v>998</v>
      </c>
      <c r="N13" s="335" t="s">
        <v>1640</v>
      </c>
      <c r="O13" s="335" t="s">
        <v>1640</v>
      </c>
      <c r="P13" s="335">
        <v>22025</v>
      </c>
      <c r="Q13" s="335" t="s">
        <v>1540</v>
      </c>
      <c r="R13" s="286" t="b">
        <f t="shared" si="3"/>
        <v>0</v>
      </c>
    </row>
    <row r="14" spans="1:18" x14ac:dyDescent="0.2">
      <c r="A14" s="335">
        <v>23</v>
      </c>
      <c r="B14" s="335" t="s">
        <v>921</v>
      </c>
      <c r="C14" s="335" t="s">
        <v>922</v>
      </c>
      <c r="D14" s="335">
        <v>20010</v>
      </c>
      <c r="E14" s="335" t="s">
        <v>61</v>
      </c>
      <c r="F14" s="286" t="b">
        <f t="shared" si="1"/>
        <v>0</v>
      </c>
      <c r="G14" s="335">
        <v>317</v>
      </c>
      <c r="H14" s="335" t="s">
        <v>1197</v>
      </c>
      <c r="I14" s="335" t="s">
        <v>1198</v>
      </c>
      <c r="J14" s="335">
        <v>21440</v>
      </c>
      <c r="K14" s="335" t="s">
        <v>1539</v>
      </c>
      <c r="L14" s="286" t="b">
        <f t="shared" si="2"/>
        <v>0</v>
      </c>
      <c r="M14" s="336">
        <v>105</v>
      </c>
      <c r="N14" s="336" t="s">
        <v>969</v>
      </c>
      <c r="O14" s="336" t="s">
        <v>1617</v>
      </c>
      <c r="P14" s="336">
        <v>20185</v>
      </c>
      <c r="Q14" s="336" t="s">
        <v>1540</v>
      </c>
      <c r="R14" s="286" t="b">
        <f t="shared" si="3"/>
        <v>0</v>
      </c>
    </row>
    <row r="15" spans="1:18" x14ac:dyDescent="0.2">
      <c r="A15" s="336">
        <v>534</v>
      </c>
      <c r="B15" s="336" t="s">
        <v>1446</v>
      </c>
      <c r="C15" s="336" t="s">
        <v>1448</v>
      </c>
      <c r="D15" s="336">
        <v>22740</v>
      </c>
      <c r="E15" s="336" t="s">
        <v>61</v>
      </c>
      <c r="F15" s="286" t="b">
        <f t="shared" si="1"/>
        <v>0</v>
      </c>
      <c r="G15" s="336">
        <v>261</v>
      </c>
      <c r="H15" s="336" t="s">
        <v>1123</v>
      </c>
      <c r="I15" s="336" t="s">
        <v>1126</v>
      </c>
      <c r="J15" s="336">
        <v>28050</v>
      </c>
      <c r="K15" s="336" t="s">
        <v>1539</v>
      </c>
      <c r="L15" s="286" t="b">
        <f t="shared" si="2"/>
        <v>0</v>
      </c>
      <c r="M15" s="336">
        <v>274</v>
      </c>
      <c r="N15" s="336" t="s">
        <v>1145</v>
      </c>
      <c r="O15" s="336" t="s">
        <v>1147</v>
      </c>
      <c r="P15" s="336">
        <v>22265</v>
      </c>
      <c r="Q15" s="336" t="s">
        <v>1540</v>
      </c>
      <c r="R15" s="286" t="b">
        <f t="shared" si="3"/>
        <v>0</v>
      </c>
    </row>
    <row r="16" spans="1:18" x14ac:dyDescent="0.2">
      <c r="A16" s="336">
        <v>29</v>
      </c>
      <c r="B16" s="336" t="s">
        <v>923</v>
      </c>
      <c r="C16" s="336" t="s">
        <v>924</v>
      </c>
      <c r="D16" s="336">
        <v>20530</v>
      </c>
      <c r="E16" s="336" t="s">
        <v>61</v>
      </c>
      <c r="F16" s="286" t="b">
        <f t="shared" si="1"/>
        <v>0</v>
      </c>
      <c r="G16" s="336">
        <v>141</v>
      </c>
      <c r="H16" s="336" t="s">
        <v>1009</v>
      </c>
      <c r="I16" s="336" t="s">
        <v>1011</v>
      </c>
      <c r="J16" s="336">
        <v>20435</v>
      </c>
      <c r="K16" s="336" t="s">
        <v>1539</v>
      </c>
      <c r="L16" s="286" t="b">
        <f t="shared" si="2"/>
        <v>0</v>
      </c>
      <c r="M16" s="335">
        <v>111</v>
      </c>
      <c r="N16" s="335" t="s">
        <v>970</v>
      </c>
      <c r="O16" s="335" t="s">
        <v>976</v>
      </c>
      <c r="P16" s="335">
        <v>20285</v>
      </c>
      <c r="Q16" s="335" t="s">
        <v>1540</v>
      </c>
      <c r="R16" s="286" t="b">
        <f t="shared" si="3"/>
        <v>0</v>
      </c>
    </row>
    <row r="17" spans="1:18" x14ac:dyDescent="0.2">
      <c r="A17" s="335">
        <v>335</v>
      </c>
      <c r="B17" s="335" t="s">
        <v>906</v>
      </c>
      <c r="C17" s="335" t="s">
        <v>1218</v>
      </c>
      <c r="D17" s="335">
        <v>21545</v>
      </c>
      <c r="E17" s="335" t="s">
        <v>61</v>
      </c>
      <c r="F17" s="286" t="b">
        <f t="shared" si="1"/>
        <v>0</v>
      </c>
      <c r="G17" s="336">
        <v>371</v>
      </c>
      <c r="H17" s="336" t="s">
        <v>1286</v>
      </c>
      <c r="I17" s="336" t="s">
        <v>1296</v>
      </c>
      <c r="J17" s="336">
        <v>21890</v>
      </c>
      <c r="K17" s="336" t="s">
        <v>1539</v>
      </c>
      <c r="L17" s="286" t="b">
        <f t="shared" si="2"/>
        <v>0</v>
      </c>
      <c r="M17" s="336">
        <v>112</v>
      </c>
      <c r="N17" s="336" t="s">
        <v>978</v>
      </c>
      <c r="O17" s="336" t="s">
        <v>986</v>
      </c>
      <c r="P17" s="336">
        <v>22290</v>
      </c>
      <c r="Q17" s="336" t="s">
        <v>1540</v>
      </c>
      <c r="R17" s="286" t="b">
        <f t="shared" si="3"/>
        <v>0</v>
      </c>
    </row>
    <row r="18" spans="1:18" x14ac:dyDescent="0.2">
      <c r="A18" s="335">
        <v>31</v>
      </c>
      <c r="B18" s="335" t="s">
        <v>925</v>
      </c>
      <c r="C18" s="335" t="s">
        <v>926</v>
      </c>
      <c r="D18" s="335">
        <v>22485</v>
      </c>
      <c r="E18" s="335" t="s">
        <v>61</v>
      </c>
      <c r="F18" s="286" t="b">
        <f t="shared" si="1"/>
        <v>0</v>
      </c>
      <c r="G18" s="335">
        <v>165</v>
      </c>
      <c r="H18" s="335" t="s">
        <v>1022</v>
      </c>
      <c r="I18" s="335" t="s">
        <v>1023</v>
      </c>
      <c r="J18" s="335">
        <v>26505</v>
      </c>
      <c r="K18" s="335" t="s">
        <v>1539</v>
      </c>
      <c r="L18" s="286" t="b">
        <f t="shared" si="2"/>
        <v>0</v>
      </c>
      <c r="M18" s="335">
        <v>723</v>
      </c>
      <c r="N18" s="335" t="s">
        <v>1512</v>
      </c>
      <c r="O18" s="335" t="s">
        <v>1512</v>
      </c>
      <c r="P18" s="335">
        <v>28575</v>
      </c>
      <c r="Q18" s="335" t="s">
        <v>1540</v>
      </c>
      <c r="R18" s="286" t="b">
        <f t="shared" si="3"/>
        <v>0</v>
      </c>
    </row>
    <row r="19" spans="1:18" x14ac:dyDescent="0.2">
      <c r="A19" s="336">
        <v>33</v>
      </c>
      <c r="B19" s="336" t="s">
        <v>927</v>
      </c>
      <c r="C19" s="336" t="s">
        <v>929</v>
      </c>
      <c r="D19" s="336">
        <v>22045</v>
      </c>
      <c r="E19" s="336" t="s">
        <v>61</v>
      </c>
      <c r="F19" s="286" t="b">
        <f t="shared" si="1"/>
        <v>0</v>
      </c>
      <c r="G19" s="335">
        <v>371</v>
      </c>
      <c r="H19" s="335" t="s">
        <v>1286</v>
      </c>
      <c r="I19" s="335" t="s">
        <v>1294</v>
      </c>
      <c r="J19" s="335">
        <v>21875</v>
      </c>
      <c r="K19" s="335" t="s">
        <v>1539</v>
      </c>
      <c r="L19" s="286" t="b">
        <f t="shared" si="2"/>
        <v>0</v>
      </c>
      <c r="M19" s="336">
        <v>141</v>
      </c>
      <c r="N19" s="336" t="s">
        <v>1009</v>
      </c>
      <c r="O19" s="336" t="s">
        <v>1013</v>
      </c>
      <c r="P19" s="336">
        <v>20455</v>
      </c>
      <c r="Q19" s="336" t="s">
        <v>1540</v>
      </c>
      <c r="R19" s="286" t="b">
        <f t="shared" si="3"/>
        <v>0</v>
      </c>
    </row>
    <row r="20" spans="1:18" x14ac:dyDescent="0.2">
      <c r="A20" s="336">
        <v>199</v>
      </c>
      <c r="B20" s="336" t="s">
        <v>1065</v>
      </c>
      <c r="C20" s="336" t="s">
        <v>1068</v>
      </c>
      <c r="D20" s="336">
        <v>20695</v>
      </c>
      <c r="E20" s="336" t="s">
        <v>61</v>
      </c>
      <c r="F20" s="286" t="b">
        <f t="shared" si="1"/>
        <v>0</v>
      </c>
      <c r="G20" s="336">
        <v>131</v>
      </c>
      <c r="H20" s="336" t="s">
        <v>1001</v>
      </c>
      <c r="I20" s="336" t="s">
        <v>1008</v>
      </c>
      <c r="J20" s="336">
        <v>20420</v>
      </c>
      <c r="K20" s="336" t="s">
        <v>1539</v>
      </c>
      <c r="L20" s="286" t="b">
        <f t="shared" si="2"/>
        <v>0</v>
      </c>
      <c r="M20" s="336">
        <v>165</v>
      </c>
      <c r="N20" s="336" t="s">
        <v>1022</v>
      </c>
      <c r="O20" s="336" t="s">
        <v>1542</v>
      </c>
      <c r="P20" s="336">
        <v>20515</v>
      </c>
      <c r="Q20" s="336" t="s">
        <v>1540</v>
      </c>
      <c r="R20" s="286" t="b">
        <f t="shared" si="3"/>
        <v>0</v>
      </c>
    </row>
    <row r="21" spans="1:18" x14ac:dyDescent="0.2">
      <c r="A21" s="335">
        <v>39</v>
      </c>
      <c r="B21" s="335" t="s">
        <v>933</v>
      </c>
      <c r="C21" s="335" t="s">
        <v>934</v>
      </c>
      <c r="D21" s="335">
        <v>20860</v>
      </c>
      <c r="E21" s="335" t="s">
        <v>61</v>
      </c>
      <c r="F21" s="286" t="b">
        <f t="shared" si="1"/>
        <v>0</v>
      </c>
      <c r="G21" s="335">
        <v>191</v>
      </c>
      <c r="H21" s="335" t="s">
        <v>1059</v>
      </c>
      <c r="I21" s="335" t="s">
        <v>1062</v>
      </c>
      <c r="J21" s="335">
        <v>26995</v>
      </c>
      <c r="K21" s="335" t="s">
        <v>1539</v>
      </c>
      <c r="L21" s="286" t="b">
        <f t="shared" si="2"/>
        <v>0</v>
      </c>
      <c r="M21" s="335">
        <v>172</v>
      </c>
      <c r="N21" s="335" t="s">
        <v>1029</v>
      </c>
      <c r="O21" s="335" t="s">
        <v>1031</v>
      </c>
      <c r="P21" s="335">
        <v>20600</v>
      </c>
      <c r="Q21" s="335" t="s">
        <v>1540</v>
      </c>
      <c r="R21" s="286" t="b">
        <f t="shared" si="3"/>
        <v>0</v>
      </c>
    </row>
    <row r="22" spans="1:18" x14ac:dyDescent="0.2">
      <c r="A22" s="336">
        <v>111</v>
      </c>
      <c r="B22" s="336" t="s">
        <v>970</v>
      </c>
      <c r="C22" s="336" t="s">
        <v>971</v>
      </c>
      <c r="D22" s="336">
        <v>26490</v>
      </c>
      <c r="E22" s="336" t="s">
        <v>61</v>
      </c>
      <c r="F22" s="286" t="b">
        <f t="shared" si="1"/>
        <v>0</v>
      </c>
      <c r="G22" s="335">
        <v>203</v>
      </c>
      <c r="H22" s="335" t="s">
        <v>1070</v>
      </c>
      <c r="I22" s="335" t="s">
        <v>1073</v>
      </c>
      <c r="J22" s="335">
        <v>27005</v>
      </c>
      <c r="K22" s="335" t="s">
        <v>1539</v>
      </c>
      <c r="L22" s="286" t="b">
        <f t="shared" si="2"/>
        <v>0</v>
      </c>
      <c r="M22" s="336">
        <v>174</v>
      </c>
      <c r="N22" s="336" t="s">
        <v>1035</v>
      </c>
      <c r="O22" s="336" t="s">
        <v>1042</v>
      </c>
      <c r="P22" s="336">
        <v>22990</v>
      </c>
      <c r="Q22" s="336" t="s">
        <v>1540</v>
      </c>
      <c r="R22" s="286" t="b">
        <f t="shared" si="3"/>
        <v>0</v>
      </c>
    </row>
    <row r="23" spans="1:18" x14ac:dyDescent="0.2">
      <c r="A23" s="336">
        <v>335</v>
      </c>
      <c r="B23" s="336" t="s">
        <v>906</v>
      </c>
      <c r="C23" s="336" t="s">
        <v>1224</v>
      </c>
      <c r="D23" s="336">
        <v>21600</v>
      </c>
      <c r="E23" s="336" t="s">
        <v>61</v>
      </c>
      <c r="F23" s="286" t="b">
        <f t="shared" si="1"/>
        <v>0</v>
      </c>
      <c r="G23" s="335">
        <v>709</v>
      </c>
      <c r="H23" s="335" t="s">
        <v>1505</v>
      </c>
      <c r="I23" s="335" t="s">
        <v>1507</v>
      </c>
      <c r="J23" s="335">
        <v>28620</v>
      </c>
      <c r="K23" s="335" t="s">
        <v>1539</v>
      </c>
      <c r="L23" s="286" t="b">
        <f t="shared" si="2"/>
        <v>0</v>
      </c>
      <c r="M23" s="335">
        <v>175</v>
      </c>
      <c r="N23" s="335" t="s">
        <v>1047</v>
      </c>
      <c r="O23" s="335" t="s">
        <v>1049</v>
      </c>
      <c r="P23" s="335">
        <v>22050</v>
      </c>
      <c r="Q23" s="335" t="s">
        <v>1540</v>
      </c>
      <c r="R23" s="286" t="b">
        <f t="shared" si="3"/>
        <v>0</v>
      </c>
    </row>
    <row r="24" spans="1:18" x14ac:dyDescent="0.2">
      <c r="A24" s="336">
        <v>486</v>
      </c>
      <c r="B24" s="336" t="s">
        <v>1413</v>
      </c>
      <c r="C24" s="336" t="s">
        <v>1415</v>
      </c>
      <c r="D24" s="336">
        <v>22135</v>
      </c>
      <c r="E24" s="336" t="s">
        <v>61</v>
      </c>
      <c r="F24" s="286" t="b">
        <f t="shared" si="1"/>
        <v>0</v>
      </c>
      <c r="G24" s="335">
        <v>112</v>
      </c>
      <c r="H24" s="335" t="s">
        <v>978</v>
      </c>
      <c r="I24" s="335" t="s">
        <v>979</v>
      </c>
      <c r="J24" s="335">
        <v>22210</v>
      </c>
      <c r="K24" s="335" t="s">
        <v>1539</v>
      </c>
      <c r="L24" s="286" t="b">
        <f t="shared" si="2"/>
        <v>0</v>
      </c>
      <c r="M24" s="336">
        <v>185</v>
      </c>
      <c r="N24" s="336" t="s">
        <v>1051</v>
      </c>
      <c r="O24" s="336" t="s">
        <v>1053</v>
      </c>
      <c r="P24" s="336">
        <v>20660</v>
      </c>
      <c r="Q24" s="336" t="s">
        <v>1540</v>
      </c>
      <c r="R24" s="286" t="b">
        <f t="shared" si="3"/>
        <v>0</v>
      </c>
    </row>
    <row r="25" spans="1:18" x14ac:dyDescent="0.2">
      <c r="A25" s="336">
        <v>51</v>
      </c>
      <c r="B25" s="336" t="s">
        <v>941</v>
      </c>
      <c r="C25" s="336" t="s">
        <v>1605</v>
      </c>
      <c r="D25" s="336">
        <v>27035</v>
      </c>
      <c r="E25" s="336" t="s">
        <v>61</v>
      </c>
      <c r="F25" s="286" t="b">
        <f t="shared" si="1"/>
        <v>0</v>
      </c>
      <c r="G25" s="335">
        <v>223</v>
      </c>
      <c r="H25" s="335" t="s">
        <v>1087</v>
      </c>
      <c r="I25" s="335" t="s">
        <v>1088</v>
      </c>
      <c r="J25" s="335">
        <v>22750</v>
      </c>
      <c r="K25" s="335" t="s">
        <v>1539</v>
      </c>
      <c r="L25" s="286" t="b">
        <f t="shared" si="2"/>
        <v>0</v>
      </c>
      <c r="M25" s="335">
        <v>191</v>
      </c>
      <c r="N25" s="335" t="s">
        <v>1059</v>
      </c>
      <c r="O25" s="335" t="s">
        <v>1060</v>
      </c>
      <c r="P25" s="335">
        <v>21240</v>
      </c>
      <c r="Q25" s="335" t="s">
        <v>1540</v>
      </c>
      <c r="R25" s="286" t="b">
        <f t="shared" si="3"/>
        <v>0</v>
      </c>
    </row>
    <row r="26" spans="1:18" x14ac:dyDescent="0.2">
      <c r="A26" s="335">
        <v>233</v>
      </c>
      <c r="B26" s="335" t="s">
        <v>1095</v>
      </c>
      <c r="C26" s="335" t="s">
        <v>1096</v>
      </c>
      <c r="D26" s="335">
        <v>20830</v>
      </c>
      <c r="E26" s="335" t="s">
        <v>61</v>
      </c>
      <c r="F26" s="286" t="b">
        <f t="shared" si="1"/>
        <v>0</v>
      </c>
      <c r="G26" s="336">
        <v>238</v>
      </c>
      <c r="H26" s="336" t="s">
        <v>1099</v>
      </c>
      <c r="I26" s="336" t="s">
        <v>1102</v>
      </c>
      <c r="J26" s="336">
        <v>26875</v>
      </c>
      <c r="K26" s="336" t="s">
        <v>1539</v>
      </c>
      <c r="L26" s="286" t="b">
        <f t="shared" si="2"/>
        <v>0</v>
      </c>
      <c r="M26" s="336">
        <v>199</v>
      </c>
      <c r="N26" s="336" t="s">
        <v>1065</v>
      </c>
      <c r="O26" s="336" t="s">
        <v>1069</v>
      </c>
      <c r="P26" s="336">
        <v>20700</v>
      </c>
      <c r="Q26" s="336" t="s">
        <v>1540</v>
      </c>
      <c r="R26" s="286" t="b">
        <f t="shared" si="3"/>
        <v>0</v>
      </c>
    </row>
    <row r="27" spans="1:18" x14ac:dyDescent="0.2">
      <c r="A27" s="335">
        <v>53</v>
      </c>
      <c r="B27" s="335" t="s">
        <v>944</v>
      </c>
      <c r="C27" s="335" t="s">
        <v>945</v>
      </c>
      <c r="D27" s="335">
        <v>21400</v>
      </c>
      <c r="E27" s="335" t="s">
        <v>61</v>
      </c>
      <c r="F27" s="286" t="b">
        <f t="shared" si="1"/>
        <v>0</v>
      </c>
      <c r="G27" s="335">
        <v>335</v>
      </c>
      <c r="H27" s="335" t="s">
        <v>906</v>
      </c>
      <c r="I27" s="335" t="s">
        <v>1615</v>
      </c>
      <c r="J27" s="335">
        <v>27595</v>
      </c>
      <c r="K27" s="335" t="s">
        <v>1539</v>
      </c>
      <c r="L27" s="286" t="b">
        <f t="shared" si="2"/>
        <v>0</v>
      </c>
      <c r="M27" s="335">
        <v>203</v>
      </c>
      <c r="N27" s="335" t="s">
        <v>1070</v>
      </c>
      <c r="O27" s="335" t="s">
        <v>1072</v>
      </c>
      <c r="P27" s="335">
        <v>20750</v>
      </c>
      <c r="Q27" s="335" t="s">
        <v>1540</v>
      </c>
      <c r="R27" s="286" t="b">
        <f t="shared" si="3"/>
        <v>0</v>
      </c>
    </row>
    <row r="28" spans="1:18" x14ac:dyDescent="0.2">
      <c r="A28" s="335">
        <v>371</v>
      </c>
      <c r="B28" s="335" t="s">
        <v>1286</v>
      </c>
      <c r="C28" s="335" t="s">
        <v>1293</v>
      </c>
      <c r="D28" s="335">
        <v>21865</v>
      </c>
      <c r="E28" s="335" t="s">
        <v>61</v>
      </c>
      <c r="F28" s="286" t="b">
        <f t="shared" si="1"/>
        <v>0</v>
      </c>
      <c r="G28" s="335">
        <v>251</v>
      </c>
      <c r="H28" s="335" t="s">
        <v>1107</v>
      </c>
      <c r="I28" s="335" t="s">
        <v>1110</v>
      </c>
      <c r="J28" s="335">
        <v>20960</v>
      </c>
      <c r="K28" s="335" t="s">
        <v>1539</v>
      </c>
      <c r="L28" s="286" t="b">
        <f t="shared" si="2"/>
        <v>0</v>
      </c>
      <c r="M28" s="335">
        <v>702</v>
      </c>
      <c r="N28" s="335" t="s">
        <v>1494</v>
      </c>
      <c r="O28" s="335" t="s">
        <v>1494</v>
      </c>
      <c r="P28" s="335">
        <v>29153</v>
      </c>
      <c r="Q28" s="335" t="s">
        <v>1540</v>
      </c>
      <c r="R28" s="286" t="b">
        <f t="shared" si="3"/>
        <v>0</v>
      </c>
    </row>
    <row r="29" spans="1:18" x14ac:dyDescent="0.2">
      <c r="A29" s="336">
        <v>371</v>
      </c>
      <c r="B29" s="336" t="s">
        <v>1286</v>
      </c>
      <c r="C29" s="336" t="s">
        <v>1297</v>
      </c>
      <c r="D29" s="336">
        <v>21895</v>
      </c>
      <c r="E29" s="336" t="s">
        <v>61</v>
      </c>
      <c r="F29" s="286" t="b">
        <f t="shared" si="1"/>
        <v>0</v>
      </c>
      <c r="G29" s="336">
        <v>335</v>
      </c>
      <c r="H29" s="336" t="s">
        <v>906</v>
      </c>
      <c r="I29" s="336" t="s">
        <v>1214</v>
      </c>
      <c r="J29" s="336">
        <v>21520</v>
      </c>
      <c r="K29" s="336" t="s">
        <v>1539</v>
      </c>
      <c r="L29" s="286" t="b">
        <f t="shared" si="2"/>
        <v>0</v>
      </c>
      <c r="M29" s="336">
        <v>709</v>
      </c>
      <c r="N29" s="336" t="s">
        <v>1505</v>
      </c>
      <c r="O29" s="336" t="s">
        <v>1506</v>
      </c>
      <c r="P29" s="336">
        <v>28445</v>
      </c>
      <c r="Q29" s="336" t="s">
        <v>1540</v>
      </c>
      <c r="R29" s="286" t="b">
        <f t="shared" si="3"/>
        <v>0</v>
      </c>
    </row>
    <row r="30" spans="1:18" x14ac:dyDescent="0.2">
      <c r="A30" s="335">
        <v>101</v>
      </c>
      <c r="B30" s="335" t="s">
        <v>964</v>
      </c>
      <c r="C30" s="335" t="s">
        <v>967</v>
      </c>
      <c r="D30" s="335">
        <v>20145</v>
      </c>
      <c r="E30" s="335" t="s">
        <v>61</v>
      </c>
      <c r="F30" s="286" t="b">
        <f t="shared" si="1"/>
        <v>0</v>
      </c>
      <c r="G30" s="336">
        <v>255</v>
      </c>
      <c r="H30" s="336" t="s">
        <v>1111</v>
      </c>
      <c r="I30" s="336" t="s">
        <v>1114</v>
      </c>
      <c r="J30" s="336">
        <v>26985</v>
      </c>
      <c r="K30" s="336" t="s">
        <v>1539</v>
      </c>
      <c r="L30" s="286" t="b">
        <f t="shared" si="2"/>
        <v>0</v>
      </c>
      <c r="M30" s="336">
        <v>407</v>
      </c>
      <c r="N30" s="336" t="s">
        <v>1330</v>
      </c>
      <c r="O30" s="336" t="s">
        <v>1331</v>
      </c>
      <c r="P30" s="336">
        <v>22900</v>
      </c>
      <c r="Q30" s="336" t="s">
        <v>1540</v>
      </c>
      <c r="R30" s="286" t="b">
        <f t="shared" si="3"/>
        <v>0</v>
      </c>
    </row>
    <row r="31" spans="1:18" x14ac:dyDescent="0.2">
      <c r="A31" s="336">
        <v>352</v>
      </c>
      <c r="B31" s="336" t="s">
        <v>1253</v>
      </c>
      <c r="C31" s="336" t="s">
        <v>1255</v>
      </c>
      <c r="D31" s="336">
        <v>22155</v>
      </c>
      <c r="E31" s="336" t="s">
        <v>61</v>
      </c>
      <c r="F31" s="286" t="b">
        <f t="shared" si="1"/>
        <v>0</v>
      </c>
      <c r="G31" s="335">
        <v>260</v>
      </c>
      <c r="H31" s="335" t="s">
        <v>1120</v>
      </c>
      <c r="I31" s="335" t="s">
        <v>1121</v>
      </c>
      <c r="J31" s="335">
        <v>21805</v>
      </c>
      <c r="K31" s="335" t="s">
        <v>1539</v>
      </c>
      <c r="L31" s="286" t="b">
        <f t="shared" si="2"/>
        <v>0</v>
      </c>
      <c r="M31" s="335">
        <v>142</v>
      </c>
      <c r="N31" s="335" t="s">
        <v>1015</v>
      </c>
      <c r="O31" s="335" t="s">
        <v>1016</v>
      </c>
      <c r="P31" s="335">
        <v>20820</v>
      </c>
      <c r="Q31" s="335" t="s">
        <v>1540</v>
      </c>
      <c r="R31" s="286" t="b">
        <f t="shared" si="3"/>
        <v>0</v>
      </c>
    </row>
    <row r="32" spans="1:18" x14ac:dyDescent="0.2">
      <c r="A32" s="336">
        <v>57</v>
      </c>
      <c r="B32" s="336" t="s">
        <v>946</v>
      </c>
      <c r="C32" s="336" t="s">
        <v>948</v>
      </c>
      <c r="D32" s="336">
        <v>20680</v>
      </c>
      <c r="E32" s="336" t="s">
        <v>61</v>
      </c>
      <c r="F32" s="286" t="b">
        <f t="shared" si="1"/>
        <v>0</v>
      </c>
      <c r="G32" s="335">
        <v>263</v>
      </c>
      <c r="H32" s="335" t="s">
        <v>1127</v>
      </c>
      <c r="I32" s="335" t="s">
        <v>1128</v>
      </c>
      <c r="J32" s="335">
        <v>27000</v>
      </c>
      <c r="K32" s="335" t="s">
        <v>1539</v>
      </c>
      <c r="L32" s="286" t="b">
        <f t="shared" si="2"/>
        <v>0</v>
      </c>
      <c r="M32" s="336">
        <v>251</v>
      </c>
      <c r="N32" s="336" t="s">
        <v>1107</v>
      </c>
      <c r="O32" s="336" t="s">
        <v>1108</v>
      </c>
      <c r="P32" s="336">
        <v>20950</v>
      </c>
      <c r="Q32" s="336" t="s">
        <v>1540</v>
      </c>
      <c r="R32" s="286" t="b">
        <f t="shared" si="3"/>
        <v>0</v>
      </c>
    </row>
    <row r="33" spans="1:18" x14ac:dyDescent="0.2">
      <c r="A33" s="336">
        <v>388</v>
      </c>
      <c r="B33" s="336" t="s">
        <v>1544</v>
      </c>
      <c r="C33" s="336" t="s">
        <v>1312</v>
      </c>
      <c r="D33" s="336">
        <v>27685</v>
      </c>
      <c r="E33" s="336" t="s">
        <v>61</v>
      </c>
      <c r="F33" s="286" t="b">
        <f t="shared" si="1"/>
        <v>0</v>
      </c>
      <c r="G33" s="336">
        <v>267</v>
      </c>
      <c r="H33" s="336" t="s">
        <v>1132</v>
      </c>
      <c r="I33" s="336" t="s">
        <v>1135</v>
      </c>
      <c r="J33" s="336">
        <v>21060</v>
      </c>
      <c r="K33" s="336" t="s">
        <v>1539</v>
      </c>
      <c r="L33" s="286" t="b">
        <f t="shared" si="2"/>
        <v>0</v>
      </c>
      <c r="M33" s="335">
        <v>255</v>
      </c>
      <c r="N33" s="335" t="s">
        <v>1111</v>
      </c>
      <c r="O33" s="335" t="s">
        <v>1112</v>
      </c>
      <c r="P33" s="335">
        <v>21675</v>
      </c>
      <c r="Q33" s="335" t="s">
        <v>1540</v>
      </c>
      <c r="R33" s="286" t="b">
        <f t="shared" si="3"/>
        <v>0</v>
      </c>
    </row>
    <row r="34" spans="1:18" x14ac:dyDescent="0.2">
      <c r="A34" s="335">
        <v>388</v>
      </c>
      <c r="B34" s="335" t="s">
        <v>1544</v>
      </c>
      <c r="C34" s="335" t="s">
        <v>1315</v>
      </c>
      <c r="D34" s="335">
        <v>20090</v>
      </c>
      <c r="E34" s="335" t="s">
        <v>61</v>
      </c>
      <c r="F34" s="286" t="b">
        <f t="shared" si="1"/>
        <v>0</v>
      </c>
      <c r="G34" s="335">
        <v>453</v>
      </c>
      <c r="H34" s="335" t="s">
        <v>1375</v>
      </c>
      <c r="I34" s="335" t="s">
        <v>1378</v>
      </c>
      <c r="J34" s="335">
        <v>26525</v>
      </c>
      <c r="K34" s="335" t="s">
        <v>1539</v>
      </c>
      <c r="L34" s="286" t="b">
        <f t="shared" si="2"/>
        <v>0</v>
      </c>
      <c r="M34" s="336">
        <v>260</v>
      </c>
      <c r="N34" s="336" t="s">
        <v>1120</v>
      </c>
      <c r="O34" s="336" t="s">
        <v>1122</v>
      </c>
      <c r="P34" s="336">
        <v>21810</v>
      </c>
      <c r="Q34" s="336" t="s">
        <v>1540</v>
      </c>
      <c r="R34" s="286" t="b">
        <f t="shared" si="3"/>
        <v>0</v>
      </c>
    </row>
    <row r="35" spans="1:18" x14ac:dyDescent="0.2">
      <c r="A35" s="335">
        <v>371</v>
      </c>
      <c r="B35" s="335" t="s">
        <v>1286</v>
      </c>
      <c r="C35" s="335" t="s">
        <v>1299</v>
      </c>
      <c r="D35" s="335">
        <v>21925</v>
      </c>
      <c r="E35" s="335" t="s">
        <v>61</v>
      </c>
      <c r="F35" s="286" t="b">
        <f t="shared" si="1"/>
        <v>0</v>
      </c>
      <c r="G35" s="335">
        <v>274</v>
      </c>
      <c r="H35" s="335" t="s">
        <v>1145</v>
      </c>
      <c r="I35" s="335" t="s">
        <v>1149</v>
      </c>
      <c r="J35" s="335">
        <v>22280</v>
      </c>
      <c r="K35" s="335" t="s">
        <v>1539</v>
      </c>
      <c r="L35" s="286" t="b">
        <f t="shared" si="2"/>
        <v>0</v>
      </c>
      <c r="M35" s="335">
        <v>263</v>
      </c>
      <c r="N35" s="335" t="s">
        <v>1127</v>
      </c>
      <c r="O35" s="335" t="s">
        <v>1130</v>
      </c>
      <c r="P35" s="335">
        <v>20970</v>
      </c>
      <c r="Q35" s="335" t="s">
        <v>1540</v>
      </c>
      <c r="R35" s="286" t="b">
        <f t="shared" si="3"/>
        <v>0</v>
      </c>
    </row>
    <row r="36" spans="1:18" x14ac:dyDescent="0.2">
      <c r="A36" s="335">
        <v>111</v>
      </c>
      <c r="B36" s="335" t="s">
        <v>970</v>
      </c>
      <c r="C36" s="335" t="s">
        <v>974</v>
      </c>
      <c r="D36" s="335">
        <v>20260</v>
      </c>
      <c r="E36" s="335" t="s">
        <v>61</v>
      </c>
      <c r="F36" s="286" t="b">
        <f t="shared" si="1"/>
        <v>0</v>
      </c>
      <c r="G36" s="336">
        <v>276</v>
      </c>
      <c r="H36" s="336" t="s">
        <v>1152</v>
      </c>
      <c r="I36" s="336" t="s">
        <v>1158</v>
      </c>
      <c r="J36" s="336">
        <v>26535</v>
      </c>
      <c r="K36" s="336" t="s">
        <v>1539</v>
      </c>
      <c r="L36" s="286" t="b">
        <f t="shared" si="2"/>
        <v>0</v>
      </c>
      <c r="M36" s="335">
        <v>269</v>
      </c>
      <c r="N36" s="335" t="s">
        <v>1138</v>
      </c>
      <c r="O36" s="335" t="s">
        <v>1141</v>
      </c>
      <c r="P36" s="335">
        <v>20035</v>
      </c>
      <c r="Q36" s="335" t="s">
        <v>1540</v>
      </c>
      <c r="R36" s="286" t="b">
        <f t="shared" si="3"/>
        <v>0</v>
      </c>
    </row>
    <row r="37" spans="1:18" x14ac:dyDescent="0.2">
      <c r="A37" s="336">
        <v>75</v>
      </c>
      <c r="B37" s="336" t="s">
        <v>954</v>
      </c>
      <c r="C37" s="336" t="s">
        <v>955</v>
      </c>
      <c r="D37" s="336">
        <v>22335</v>
      </c>
      <c r="E37" s="336" t="s">
        <v>61</v>
      </c>
      <c r="F37" s="286" t="b">
        <f t="shared" si="1"/>
        <v>0</v>
      </c>
      <c r="G37" s="335">
        <v>279</v>
      </c>
      <c r="H37" s="335" t="s">
        <v>1159</v>
      </c>
      <c r="I37" s="335" t="s">
        <v>1162</v>
      </c>
      <c r="J37" s="335">
        <v>21185</v>
      </c>
      <c r="K37" s="335" t="s">
        <v>1539</v>
      </c>
      <c r="L37" s="286" t="b">
        <f t="shared" si="2"/>
        <v>0</v>
      </c>
      <c r="M37" s="335">
        <v>275</v>
      </c>
      <c r="N37" s="335" t="s">
        <v>1150</v>
      </c>
      <c r="O37" s="335" t="s">
        <v>1151</v>
      </c>
      <c r="P37" s="335">
        <v>26380</v>
      </c>
      <c r="Q37" s="335" t="s">
        <v>1540</v>
      </c>
      <c r="R37" s="286" t="b">
        <f t="shared" si="3"/>
        <v>0</v>
      </c>
    </row>
    <row r="38" spans="1:18" x14ac:dyDescent="0.2">
      <c r="A38" s="336">
        <v>343</v>
      </c>
      <c r="B38" s="336" t="s">
        <v>1239</v>
      </c>
      <c r="C38" s="336" t="s">
        <v>1241</v>
      </c>
      <c r="D38" s="336">
        <v>21315</v>
      </c>
      <c r="E38" s="336" t="s">
        <v>61</v>
      </c>
      <c r="F38" s="286" t="b">
        <f t="shared" si="1"/>
        <v>0</v>
      </c>
      <c r="G38" s="336">
        <v>208</v>
      </c>
      <c r="H38" s="336" t="s">
        <v>1074</v>
      </c>
      <c r="I38" s="336" t="s">
        <v>1081</v>
      </c>
      <c r="J38" s="336">
        <v>22440</v>
      </c>
      <c r="K38" s="336" t="s">
        <v>1539</v>
      </c>
      <c r="L38" s="286" t="b">
        <f t="shared" si="2"/>
        <v>0</v>
      </c>
      <c r="M38" s="336">
        <v>276</v>
      </c>
      <c r="N38" s="336" t="s">
        <v>1152</v>
      </c>
      <c r="O38" s="336" t="s">
        <v>1154</v>
      </c>
      <c r="P38" s="336">
        <v>22015</v>
      </c>
      <c r="Q38" s="336" t="s">
        <v>1540</v>
      </c>
      <c r="R38" s="286" t="b">
        <f t="shared" si="3"/>
        <v>0</v>
      </c>
    </row>
    <row r="39" spans="1:18" x14ac:dyDescent="0.2">
      <c r="A39" s="335">
        <v>486</v>
      </c>
      <c r="B39" s="335" t="s">
        <v>1413</v>
      </c>
      <c r="C39" s="335" t="s">
        <v>1414</v>
      </c>
      <c r="D39" s="335">
        <v>22165</v>
      </c>
      <c r="E39" s="335" t="s">
        <v>61</v>
      </c>
      <c r="F39" s="286" t="b">
        <f t="shared" si="1"/>
        <v>0</v>
      </c>
      <c r="G39" s="336">
        <v>708</v>
      </c>
      <c r="H39" s="336" t="s">
        <v>1502</v>
      </c>
      <c r="I39" s="336" t="s">
        <v>1503</v>
      </c>
      <c r="J39" s="336">
        <v>29191</v>
      </c>
      <c r="K39" s="336" t="s">
        <v>1539</v>
      </c>
      <c r="L39" s="286" t="b">
        <f t="shared" si="2"/>
        <v>0</v>
      </c>
      <c r="M39" s="335">
        <v>279</v>
      </c>
      <c r="N39" s="335" t="s">
        <v>1159</v>
      </c>
      <c r="O39" s="335" t="s">
        <v>1164</v>
      </c>
      <c r="P39" s="335">
        <v>21195</v>
      </c>
      <c r="Q39" s="335" t="s">
        <v>1540</v>
      </c>
      <c r="R39" s="286" t="b">
        <f t="shared" si="3"/>
        <v>0</v>
      </c>
    </row>
    <row r="40" spans="1:18" x14ac:dyDescent="0.2">
      <c r="A40" s="336">
        <v>71</v>
      </c>
      <c r="B40" s="336" t="s">
        <v>951</v>
      </c>
      <c r="C40" s="336" t="s">
        <v>952</v>
      </c>
      <c r="D40" s="336">
        <v>27765</v>
      </c>
      <c r="E40" s="336" t="s">
        <v>61</v>
      </c>
      <c r="F40" s="286" t="b">
        <f t="shared" si="1"/>
        <v>0</v>
      </c>
      <c r="G40" s="336">
        <v>285</v>
      </c>
      <c r="H40" s="336" t="s">
        <v>1168</v>
      </c>
      <c r="I40" s="336" t="s">
        <v>1171</v>
      </c>
      <c r="J40" s="336">
        <v>21275</v>
      </c>
      <c r="K40" s="336" t="s">
        <v>1539</v>
      </c>
      <c r="L40" s="286" t="b">
        <f t="shared" si="2"/>
        <v>0</v>
      </c>
      <c r="M40" s="335">
        <v>113</v>
      </c>
      <c r="N40" s="335" t="s">
        <v>990</v>
      </c>
      <c r="O40" s="335" t="s">
        <v>994</v>
      </c>
      <c r="P40" s="335">
        <v>20345</v>
      </c>
      <c r="Q40" s="335" t="s">
        <v>1540</v>
      </c>
      <c r="R40" s="286" t="b">
        <f t="shared" si="3"/>
        <v>0</v>
      </c>
    </row>
    <row r="41" spans="1:18" x14ac:dyDescent="0.2">
      <c r="A41" s="336">
        <v>208</v>
      </c>
      <c r="B41" s="336" t="s">
        <v>1074</v>
      </c>
      <c r="C41" s="336" t="s">
        <v>1080</v>
      </c>
      <c r="D41" s="336">
        <v>22430</v>
      </c>
      <c r="E41" s="336" t="s">
        <v>61</v>
      </c>
      <c r="F41" s="286" t="b">
        <f t="shared" si="1"/>
        <v>0</v>
      </c>
      <c r="G41" s="335">
        <v>295</v>
      </c>
      <c r="H41" s="335" t="s">
        <v>1178</v>
      </c>
      <c r="I41" s="335" t="s">
        <v>1182</v>
      </c>
      <c r="J41" s="335">
        <v>21370</v>
      </c>
      <c r="K41" s="335" t="s">
        <v>1539</v>
      </c>
      <c r="L41" s="286" t="b">
        <f t="shared" si="2"/>
        <v>0</v>
      </c>
      <c r="M41" s="336">
        <v>208</v>
      </c>
      <c r="N41" s="336" t="s">
        <v>1074</v>
      </c>
      <c r="O41" s="336" t="s">
        <v>1079</v>
      </c>
      <c r="P41" s="336">
        <v>22425</v>
      </c>
      <c r="Q41" s="336" t="s">
        <v>1540</v>
      </c>
      <c r="R41" s="286" t="b">
        <f t="shared" si="3"/>
        <v>0</v>
      </c>
    </row>
    <row r="42" spans="1:18" x14ac:dyDescent="0.2">
      <c r="A42" s="336">
        <v>555</v>
      </c>
      <c r="B42" s="336" t="s">
        <v>1464</v>
      </c>
      <c r="C42" s="336" t="s">
        <v>1465</v>
      </c>
      <c r="D42" s="336">
        <v>26810</v>
      </c>
      <c r="E42" s="336" t="s">
        <v>61</v>
      </c>
      <c r="F42" s="286" t="b">
        <f t="shared" si="1"/>
        <v>0</v>
      </c>
      <c r="G42" s="336">
        <v>305</v>
      </c>
      <c r="H42" s="336" t="s">
        <v>1185</v>
      </c>
      <c r="I42" s="336" t="s">
        <v>1186</v>
      </c>
      <c r="J42" s="336">
        <v>23105</v>
      </c>
      <c r="K42" s="336" t="s">
        <v>1539</v>
      </c>
      <c r="L42" s="286" t="b">
        <f t="shared" si="2"/>
        <v>0</v>
      </c>
      <c r="M42" s="335">
        <v>708</v>
      </c>
      <c r="N42" s="335" t="s">
        <v>1502</v>
      </c>
      <c r="O42" s="335" t="s">
        <v>1504</v>
      </c>
      <c r="P42" s="335">
        <v>29192</v>
      </c>
      <c r="Q42" s="335" t="s">
        <v>1540</v>
      </c>
      <c r="R42" s="286" t="b">
        <f t="shared" si="3"/>
        <v>0</v>
      </c>
    </row>
    <row r="43" spans="1:18" x14ac:dyDescent="0.2">
      <c r="A43" s="335">
        <v>461</v>
      </c>
      <c r="B43" s="335" t="s">
        <v>1379</v>
      </c>
      <c r="C43" s="335" t="s">
        <v>1385</v>
      </c>
      <c r="D43" s="335">
        <v>22695</v>
      </c>
      <c r="E43" s="335" t="s">
        <v>61</v>
      </c>
      <c r="F43" s="286" t="b">
        <f t="shared" si="1"/>
        <v>0</v>
      </c>
      <c r="G43" s="335">
        <v>306</v>
      </c>
      <c r="H43" s="335" t="s">
        <v>1189</v>
      </c>
      <c r="I43" s="335" t="s">
        <v>1191</v>
      </c>
      <c r="J43" s="335">
        <v>23095</v>
      </c>
      <c r="K43" s="335" t="s">
        <v>1539</v>
      </c>
      <c r="L43" s="286" t="b">
        <f t="shared" si="2"/>
        <v>0</v>
      </c>
      <c r="M43" s="336">
        <v>285</v>
      </c>
      <c r="N43" s="336" t="s">
        <v>1168</v>
      </c>
      <c r="O43" s="336" t="s">
        <v>1169</v>
      </c>
      <c r="P43" s="336">
        <v>21255</v>
      </c>
      <c r="Q43" s="336" t="s">
        <v>1540</v>
      </c>
      <c r="R43" s="286" t="b">
        <f t="shared" si="3"/>
        <v>0</v>
      </c>
    </row>
    <row r="44" spans="1:18" x14ac:dyDescent="0.2">
      <c r="A44" s="336">
        <v>174</v>
      </c>
      <c r="B44" s="336" t="s">
        <v>1035</v>
      </c>
      <c r="C44" s="336" t="s">
        <v>1039</v>
      </c>
      <c r="D44" s="336">
        <v>22975</v>
      </c>
      <c r="E44" s="336" t="s">
        <v>61</v>
      </c>
      <c r="F44" s="286" t="b">
        <f t="shared" si="1"/>
        <v>0</v>
      </c>
      <c r="G44" s="336">
        <v>315</v>
      </c>
      <c r="H44" s="336" t="s">
        <v>1193</v>
      </c>
      <c r="I44" s="336" t="s">
        <v>1196</v>
      </c>
      <c r="J44" s="336">
        <v>26640</v>
      </c>
      <c r="K44" s="336" t="s">
        <v>1539</v>
      </c>
      <c r="L44" s="286" t="b">
        <f t="shared" si="2"/>
        <v>0</v>
      </c>
      <c r="M44" s="335">
        <v>706</v>
      </c>
      <c r="N44" s="335" t="s">
        <v>1500</v>
      </c>
      <c r="O44" s="335" t="s">
        <v>1500</v>
      </c>
      <c r="P44" s="335">
        <v>29189</v>
      </c>
      <c r="Q44" s="335" t="s">
        <v>1540</v>
      </c>
      <c r="R44" s="286" t="b">
        <f t="shared" si="3"/>
        <v>0</v>
      </c>
    </row>
    <row r="45" spans="1:18" x14ac:dyDescent="0.2">
      <c r="A45" s="335">
        <v>174</v>
      </c>
      <c r="B45" s="335" t="s">
        <v>1035</v>
      </c>
      <c r="C45" s="335" t="s">
        <v>1041</v>
      </c>
      <c r="D45" s="335">
        <v>22985</v>
      </c>
      <c r="E45" s="335" t="s">
        <v>61</v>
      </c>
      <c r="F45" s="286" t="b">
        <f t="shared" si="1"/>
        <v>0</v>
      </c>
      <c r="G45" s="336">
        <v>319</v>
      </c>
      <c r="H45" s="336" t="s">
        <v>1201</v>
      </c>
      <c r="I45" s="336" t="s">
        <v>1205</v>
      </c>
      <c r="J45" s="336">
        <v>20480</v>
      </c>
      <c r="K45" s="336" t="s">
        <v>1539</v>
      </c>
      <c r="L45" s="286" t="b">
        <f t="shared" si="2"/>
        <v>0</v>
      </c>
      <c r="M45" s="335">
        <v>295</v>
      </c>
      <c r="N45" s="335" t="s">
        <v>1178</v>
      </c>
      <c r="O45" s="335" t="s">
        <v>1181</v>
      </c>
      <c r="P45" s="335">
        <v>21360</v>
      </c>
      <c r="Q45" s="335" t="s">
        <v>1540</v>
      </c>
      <c r="R45" s="286" t="b">
        <f t="shared" si="3"/>
        <v>0</v>
      </c>
    </row>
    <row r="46" spans="1:18" x14ac:dyDescent="0.2">
      <c r="A46" s="336">
        <v>371</v>
      </c>
      <c r="B46" s="336" t="s">
        <v>1286</v>
      </c>
      <c r="C46" s="336" t="s">
        <v>1300</v>
      </c>
      <c r="D46" s="336">
        <v>21930</v>
      </c>
      <c r="E46" s="336" t="s">
        <v>61</v>
      </c>
      <c r="F46" s="286" t="b">
        <f t="shared" si="1"/>
        <v>0</v>
      </c>
      <c r="G46" s="335">
        <v>733</v>
      </c>
      <c r="H46" s="335" t="s">
        <v>1522</v>
      </c>
      <c r="I46" s="335" t="s">
        <v>1523</v>
      </c>
      <c r="J46" s="335">
        <v>29100</v>
      </c>
      <c r="K46" s="335" t="s">
        <v>1539</v>
      </c>
      <c r="L46" s="286" t="b">
        <f t="shared" si="2"/>
        <v>0</v>
      </c>
      <c r="M46" s="336">
        <v>719</v>
      </c>
      <c r="N46" s="336" t="s">
        <v>1510</v>
      </c>
      <c r="O46" s="336" t="s">
        <v>1510</v>
      </c>
      <c r="P46" s="336">
        <v>28565</v>
      </c>
      <c r="Q46" s="336" t="s">
        <v>1540</v>
      </c>
      <c r="R46" s="286" t="b">
        <f t="shared" si="3"/>
        <v>0</v>
      </c>
    </row>
    <row r="47" spans="1:18" x14ac:dyDescent="0.2">
      <c r="A47" s="336">
        <v>93</v>
      </c>
      <c r="B47" s="336" t="s">
        <v>958</v>
      </c>
      <c r="C47" s="336" t="s">
        <v>959</v>
      </c>
      <c r="D47" s="336">
        <v>20500</v>
      </c>
      <c r="E47" s="336" t="s">
        <v>61</v>
      </c>
      <c r="F47" s="286" t="b">
        <f t="shared" si="1"/>
        <v>0</v>
      </c>
      <c r="G47" s="336">
        <v>351</v>
      </c>
      <c r="H47" s="336" t="s">
        <v>1246</v>
      </c>
      <c r="I47" s="336" t="s">
        <v>1247</v>
      </c>
      <c r="J47" s="336">
        <v>28375</v>
      </c>
      <c r="K47" s="336" t="s">
        <v>1539</v>
      </c>
      <c r="L47" s="286" t="b">
        <f t="shared" si="2"/>
        <v>0</v>
      </c>
      <c r="M47" s="336">
        <v>305</v>
      </c>
      <c r="N47" s="336" t="s">
        <v>1185</v>
      </c>
      <c r="O47" s="336" t="s">
        <v>1187</v>
      </c>
      <c r="P47" s="336">
        <v>23110</v>
      </c>
      <c r="Q47" s="336" t="s">
        <v>1540</v>
      </c>
      <c r="R47" s="286" t="b">
        <f t="shared" si="3"/>
        <v>0</v>
      </c>
    </row>
    <row r="48" spans="1:18" x14ac:dyDescent="0.2">
      <c r="A48" s="335">
        <v>95</v>
      </c>
      <c r="B48" s="335" t="s">
        <v>960</v>
      </c>
      <c r="C48" s="335" t="s">
        <v>961</v>
      </c>
      <c r="D48" s="335">
        <v>21140</v>
      </c>
      <c r="E48" s="335" t="s">
        <v>61</v>
      </c>
      <c r="F48" s="286" t="b">
        <f t="shared" si="1"/>
        <v>0</v>
      </c>
      <c r="G48" s="335">
        <v>352</v>
      </c>
      <c r="H48" s="335" t="s">
        <v>1253</v>
      </c>
      <c r="I48" s="335" t="s">
        <v>1254</v>
      </c>
      <c r="J48" s="335">
        <v>26585</v>
      </c>
      <c r="K48" s="335" t="s">
        <v>1539</v>
      </c>
      <c r="L48" s="286" t="b">
        <f t="shared" si="2"/>
        <v>0</v>
      </c>
      <c r="M48" s="335">
        <v>306</v>
      </c>
      <c r="N48" s="335" t="s">
        <v>1189</v>
      </c>
      <c r="O48" s="335" t="s">
        <v>1192</v>
      </c>
      <c r="P48" s="335">
        <v>23100</v>
      </c>
      <c r="Q48" s="335" t="s">
        <v>1540</v>
      </c>
      <c r="R48" s="286" t="b">
        <f t="shared" si="3"/>
        <v>0</v>
      </c>
    </row>
    <row r="49" spans="1:18" x14ac:dyDescent="0.2">
      <c r="A49" s="336">
        <v>99</v>
      </c>
      <c r="B49" s="336" t="s">
        <v>962</v>
      </c>
      <c r="C49" s="336" t="s">
        <v>963</v>
      </c>
      <c r="D49" s="336">
        <v>22590</v>
      </c>
      <c r="E49" s="336" t="s">
        <v>61</v>
      </c>
      <c r="F49" s="286" t="b">
        <f t="shared" si="1"/>
        <v>0</v>
      </c>
      <c r="G49" s="335">
        <v>335</v>
      </c>
      <c r="H49" s="335" t="s">
        <v>906</v>
      </c>
      <c r="I49" s="335" t="s">
        <v>1215</v>
      </c>
      <c r="J49" s="335">
        <v>21525</v>
      </c>
      <c r="K49" s="335" t="s">
        <v>1539</v>
      </c>
      <c r="L49" s="286" t="b">
        <f t="shared" si="2"/>
        <v>0</v>
      </c>
      <c r="M49" s="335">
        <v>317</v>
      </c>
      <c r="N49" s="335" t="s">
        <v>1197</v>
      </c>
      <c r="O49" s="335" t="s">
        <v>1199</v>
      </c>
      <c r="P49" s="335">
        <v>21445</v>
      </c>
      <c r="Q49" s="335" t="s">
        <v>1540</v>
      </c>
      <c r="R49" s="286" t="b">
        <f t="shared" si="3"/>
        <v>0</v>
      </c>
    </row>
    <row r="50" spans="1:18" x14ac:dyDescent="0.2">
      <c r="A50" s="336">
        <v>111</v>
      </c>
      <c r="B50" s="336" t="s">
        <v>970</v>
      </c>
      <c r="C50" s="336" t="s">
        <v>977</v>
      </c>
      <c r="D50" s="336">
        <v>20305</v>
      </c>
      <c r="E50" s="336" t="s">
        <v>61</v>
      </c>
      <c r="F50" s="286" t="b">
        <f t="shared" si="1"/>
        <v>0</v>
      </c>
      <c r="G50" s="336">
        <v>357</v>
      </c>
      <c r="H50" s="336" t="s">
        <v>1265</v>
      </c>
      <c r="I50" s="336" t="s">
        <v>1266</v>
      </c>
      <c r="J50" s="336">
        <v>21760</v>
      </c>
      <c r="K50" s="336" t="s">
        <v>1539</v>
      </c>
      <c r="L50" s="286" t="b">
        <f t="shared" si="2"/>
        <v>0</v>
      </c>
      <c r="M50" s="336">
        <v>319</v>
      </c>
      <c r="N50" s="336" t="s">
        <v>1201</v>
      </c>
      <c r="O50" s="336" t="s">
        <v>1207</v>
      </c>
      <c r="P50" s="336">
        <v>20490</v>
      </c>
      <c r="Q50" s="336" t="s">
        <v>1540</v>
      </c>
      <c r="R50" s="286" t="b">
        <f t="shared" si="3"/>
        <v>0</v>
      </c>
    </row>
    <row r="51" spans="1:18" x14ac:dyDescent="0.2">
      <c r="A51" s="336">
        <v>101</v>
      </c>
      <c r="B51" s="336" t="s">
        <v>964</v>
      </c>
      <c r="C51" s="336" t="s">
        <v>1560</v>
      </c>
      <c r="D51" s="336">
        <v>29184</v>
      </c>
      <c r="E51" s="336" t="s">
        <v>1561</v>
      </c>
      <c r="F51" s="286" t="b">
        <f t="shared" si="1"/>
        <v>0</v>
      </c>
      <c r="G51" s="336">
        <v>363</v>
      </c>
      <c r="H51" s="336" t="s">
        <v>1274</v>
      </c>
      <c r="I51" s="336" t="s">
        <v>1275</v>
      </c>
      <c r="J51" s="336">
        <v>26980</v>
      </c>
      <c r="K51" s="336" t="s">
        <v>1539</v>
      </c>
      <c r="L51" s="286" t="b">
        <f t="shared" si="2"/>
        <v>0</v>
      </c>
      <c r="M51" s="335">
        <v>733</v>
      </c>
      <c r="N51" s="335" t="s">
        <v>1522</v>
      </c>
      <c r="O51" s="335" t="s">
        <v>1525</v>
      </c>
      <c r="P51" s="335">
        <v>29160</v>
      </c>
      <c r="Q51" s="335" t="s">
        <v>1540</v>
      </c>
      <c r="R51" s="286" t="b">
        <f t="shared" si="3"/>
        <v>0</v>
      </c>
    </row>
    <row r="52" spans="1:18" x14ac:dyDescent="0.2">
      <c r="A52" s="335">
        <v>17</v>
      </c>
      <c r="B52" s="335" t="s">
        <v>916</v>
      </c>
      <c r="C52" s="335" t="s">
        <v>918</v>
      </c>
      <c r="D52" s="335">
        <v>21750</v>
      </c>
      <c r="E52" s="335" t="s">
        <v>61</v>
      </c>
      <c r="F52" s="286" t="b">
        <f t="shared" si="1"/>
        <v>0</v>
      </c>
      <c r="G52" s="335">
        <v>369</v>
      </c>
      <c r="H52" s="335" t="s">
        <v>1283</v>
      </c>
      <c r="I52" s="335" t="s">
        <v>1616</v>
      </c>
      <c r="J52" s="335">
        <v>26960</v>
      </c>
      <c r="K52" s="335" t="s">
        <v>1539</v>
      </c>
      <c r="L52" s="286" t="b">
        <f t="shared" si="2"/>
        <v>0</v>
      </c>
      <c r="M52" s="336">
        <v>733</v>
      </c>
      <c r="N52" s="336" t="s">
        <v>1522</v>
      </c>
      <c r="O52" s="336" t="s">
        <v>1524</v>
      </c>
      <c r="P52" s="336">
        <v>29060</v>
      </c>
      <c r="Q52" s="336" t="s">
        <v>1540</v>
      </c>
      <c r="R52" s="286" t="b">
        <f t="shared" si="3"/>
        <v>0</v>
      </c>
    </row>
    <row r="53" spans="1:18" x14ac:dyDescent="0.2">
      <c r="A53" s="336">
        <v>105</v>
      </c>
      <c r="B53" s="336" t="s">
        <v>969</v>
      </c>
      <c r="C53" s="336" t="s">
        <v>1606</v>
      </c>
      <c r="D53" s="336">
        <v>20195</v>
      </c>
      <c r="E53" s="336" t="s">
        <v>61</v>
      </c>
      <c r="F53" s="286" t="b">
        <f t="shared" si="1"/>
        <v>0</v>
      </c>
      <c r="G53" s="336">
        <v>199</v>
      </c>
      <c r="H53" s="336" t="s">
        <v>1065</v>
      </c>
      <c r="I53" s="336" t="s">
        <v>1066</v>
      </c>
      <c r="J53" s="336">
        <v>26820</v>
      </c>
      <c r="K53" s="336" t="s">
        <v>1539</v>
      </c>
      <c r="L53" s="286" t="b">
        <f t="shared" si="2"/>
        <v>0</v>
      </c>
      <c r="M53" s="335">
        <v>335</v>
      </c>
      <c r="N53" s="335" t="s">
        <v>906</v>
      </c>
      <c r="O53" s="335" t="s">
        <v>1213</v>
      </c>
      <c r="P53" s="335">
        <v>21510</v>
      </c>
      <c r="Q53" s="335" t="s">
        <v>1540</v>
      </c>
      <c r="R53" s="286" t="b">
        <f t="shared" si="3"/>
        <v>0</v>
      </c>
    </row>
    <row r="54" spans="1:18" x14ac:dyDescent="0.2">
      <c r="A54" s="336">
        <v>743</v>
      </c>
      <c r="B54" s="336" t="s">
        <v>1534</v>
      </c>
      <c r="C54" s="336" t="s">
        <v>1607</v>
      </c>
      <c r="D54" s="336">
        <v>29166</v>
      </c>
      <c r="E54" s="336" t="s">
        <v>61</v>
      </c>
      <c r="F54" s="286" t="b">
        <f t="shared" si="1"/>
        <v>0</v>
      </c>
      <c r="G54" s="335">
        <v>388</v>
      </c>
      <c r="H54" s="335" t="s">
        <v>1544</v>
      </c>
      <c r="I54" s="335" t="s">
        <v>1313</v>
      </c>
      <c r="J54" s="335">
        <v>26680</v>
      </c>
      <c r="K54" s="335" t="s">
        <v>1539</v>
      </c>
      <c r="L54" s="286" t="b">
        <f t="shared" si="2"/>
        <v>0</v>
      </c>
      <c r="M54" s="336">
        <v>335</v>
      </c>
      <c r="N54" s="336" t="s">
        <v>906</v>
      </c>
      <c r="O54" s="336" t="s">
        <v>1212</v>
      </c>
      <c r="P54" s="336">
        <v>21505</v>
      </c>
      <c r="Q54" s="336" t="s">
        <v>1540</v>
      </c>
      <c r="R54" s="286" t="b">
        <f t="shared" si="3"/>
        <v>0</v>
      </c>
    </row>
    <row r="55" spans="1:18" x14ac:dyDescent="0.2">
      <c r="A55" s="336">
        <v>113</v>
      </c>
      <c r="B55" s="336" t="s">
        <v>990</v>
      </c>
      <c r="C55" s="336" t="s">
        <v>993</v>
      </c>
      <c r="D55" s="336">
        <v>20340</v>
      </c>
      <c r="E55" s="336" t="s">
        <v>61</v>
      </c>
      <c r="F55" s="286" t="b">
        <f t="shared" si="1"/>
        <v>0</v>
      </c>
      <c r="G55" s="336">
        <v>401</v>
      </c>
      <c r="H55" s="336" t="s">
        <v>1324</v>
      </c>
      <c r="I55" s="336" t="s">
        <v>1325</v>
      </c>
      <c r="J55" s="336">
        <v>26970</v>
      </c>
      <c r="K55" s="336" t="s">
        <v>1539</v>
      </c>
      <c r="L55" s="286" t="b">
        <f t="shared" si="2"/>
        <v>0</v>
      </c>
      <c r="M55" s="335">
        <v>335</v>
      </c>
      <c r="N55" s="335" t="s">
        <v>906</v>
      </c>
      <c r="O55" s="335" t="s">
        <v>1230</v>
      </c>
      <c r="P55" s="335">
        <v>29085</v>
      </c>
      <c r="Q55" s="335" t="s">
        <v>1540</v>
      </c>
      <c r="R55" s="286" t="b">
        <f t="shared" si="3"/>
        <v>0</v>
      </c>
    </row>
    <row r="56" spans="1:18" x14ac:dyDescent="0.2">
      <c r="A56" s="335">
        <v>115</v>
      </c>
      <c r="B56" s="335" t="s">
        <v>995</v>
      </c>
      <c r="C56" s="335" t="s">
        <v>996</v>
      </c>
      <c r="D56" s="335">
        <v>20175</v>
      </c>
      <c r="E56" s="335" t="s">
        <v>61</v>
      </c>
      <c r="F56" s="286" t="b">
        <f t="shared" si="1"/>
        <v>0</v>
      </c>
      <c r="G56" s="335">
        <v>703</v>
      </c>
      <c r="H56" s="335" t="s">
        <v>1495</v>
      </c>
      <c r="I56" s="335" t="s">
        <v>1496</v>
      </c>
      <c r="J56" s="335">
        <v>28505</v>
      </c>
      <c r="K56" s="335" t="s">
        <v>1539</v>
      </c>
      <c r="L56" s="286" t="b">
        <f t="shared" si="2"/>
        <v>0</v>
      </c>
      <c r="M56" s="336">
        <v>335</v>
      </c>
      <c r="N56" s="336" t="s">
        <v>906</v>
      </c>
      <c r="O56" s="336" t="s">
        <v>1219</v>
      </c>
      <c r="P56" s="336">
        <v>21555</v>
      </c>
      <c r="Q56" s="336" t="s">
        <v>1540</v>
      </c>
      <c r="R56" s="286" t="b">
        <f t="shared" si="3"/>
        <v>0</v>
      </c>
    </row>
    <row r="57" spans="1:18" x14ac:dyDescent="0.2">
      <c r="A57" s="335">
        <v>208</v>
      </c>
      <c r="B57" s="335" t="s">
        <v>1074</v>
      </c>
      <c r="C57" s="335" t="s">
        <v>1082</v>
      </c>
      <c r="D57" s="335">
        <v>27515</v>
      </c>
      <c r="E57" s="335" t="s">
        <v>61</v>
      </c>
      <c r="F57" s="286" t="b">
        <f t="shared" si="1"/>
        <v>0</v>
      </c>
      <c r="G57" s="335">
        <v>359</v>
      </c>
      <c r="H57" s="335" t="s">
        <v>1270</v>
      </c>
      <c r="I57" s="335" t="s">
        <v>1271</v>
      </c>
      <c r="J57" s="335">
        <v>26540</v>
      </c>
      <c r="K57" s="335" t="s">
        <v>1539</v>
      </c>
      <c r="L57" s="286" t="b">
        <f t="shared" si="2"/>
        <v>0</v>
      </c>
      <c r="M57" s="335">
        <v>342</v>
      </c>
      <c r="N57" s="335" t="s">
        <v>1235</v>
      </c>
      <c r="O57" s="335" t="s">
        <v>1237</v>
      </c>
      <c r="P57" s="335">
        <v>23050</v>
      </c>
      <c r="Q57" s="335" t="s">
        <v>1540</v>
      </c>
      <c r="R57" s="286" t="b">
        <f t="shared" si="3"/>
        <v>0</v>
      </c>
    </row>
    <row r="58" spans="1:18" x14ac:dyDescent="0.2">
      <c r="A58" s="336">
        <v>117</v>
      </c>
      <c r="B58" s="336" t="s">
        <v>997</v>
      </c>
      <c r="C58" s="336" t="s">
        <v>998</v>
      </c>
      <c r="D58" s="336">
        <v>21960</v>
      </c>
      <c r="E58" s="336" t="s">
        <v>61</v>
      </c>
      <c r="F58" s="286" t="b">
        <f t="shared" si="1"/>
        <v>0</v>
      </c>
      <c r="G58" s="335">
        <v>423</v>
      </c>
      <c r="H58" s="335" t="s">
        <v>1338</v>
      </c>
      <c r="I58" s="335" t="s">
        <v>1340</v>
      </c>
      <c r="J58" s="335">
        <v>22790</v>
      </c>
      <c r="K58" s="335" t="s">
        <v>1539</v>
      </c>
      <c r="L58" s="286" t="b">
        <f t="shared" si="2"/>
        <v>0</v>
      </c>
      <c r="M58" s="336">
        <v>343</v>
      </c>
      <c r="N58" s="336" t="s">
        <v>1239</v>
      </c>
      <c r="O58" s="336" t="s">
        <v>1240</v>
      </c>
      <c r="P58" s="336">
        <v>21305</v>
      </c>
      <c r="Q58" s="336" t="s">
        <v>1540</v>
      </c>
      <c r="R58" s="286" t="b">
        <f t="shared" si="3"/>
        <v>0</v>
      </c>
    </row>
    <row r="59" spans="1:18" x14ac:dyDescent="0.2">
      <c r="A59" s="336">
        <v>363</v>
      </c>
      <c r="B59" s="336" t="s">
        <v>1274</v>
      </c>
      <c r="C59" s="336" t="s">
        <v>1608</v>
      </c>
      <c r="D59" s="336">
        <v>21715</v>
      </c>
      <c r="E59" s="336" t="s">
        <v>61</v>
      </c>
      <c r="F59" s="286" t="b">
        <f t="shared" si="1"/>
        <v>0</v>
      </c>
      <c r="G59" s="336">
        <v>371</v>
      </c>
      <c r="H59" s="336" t="s">
        <v>1286</v>
      </c>
      <c r="I59" s="336" t="s">
        <v>1287</v>
      </c>
      <c r="J59" s="336">
        <v>21825</v>
      </c>
      <c r="K59" s="336" t="s">
        <v>1539</v>
      </c>
      <c r="L59" s="286" t="b">
        <f t="shared" si="2"/>
        <v>0</v>
      </c>
      <c r="M59" s="335">
        <v>351</v>
      </c>
      <c r="N59" s="335" t="s">
        <v>1246</v>
      </c>
      <c r="O59" s="335" t="s">
        <v>1252</v>
      </c>
      <c r="P59" s="335">
        <v>21040</v>
      </c>
      <c r="Q59" s="335" t="s">
        <v>1540</v>
      </c>
      <c r="R59" s="286" t="b">
        <f t="shared" si="3"/>
        <v>0</v>
      </c>
    </row>
    <row r="60" spans="1:18" x14ac:dyDescent="0.2">
      <c r="A60" s="336">
        <v>388</v>
      </c>
      <c r="B60" s="336" t="s">
        <v>1544</v>
      </c>
      <c r="C60" s="336" t="s">
        <v>1316</v>
      </c>
      <c r="D60" s="336">
        <v>20095</v>
      </c>
      <c r="E60" s="336" t="s">
        <v>61</v>
      </c>
      <c r="F60" s="286" t="b">
        <f t="shared" si="1"/>
        <v>0</v>
      </c>
      <c r="G60" s="336">
        <v>439</v>
      </c>
      <c r="H60" s="336" t="s">
        <v>1358</v>
      </c>
      <c r="I60" s="336" t="s">
        <v>1360</v>
      </c>
      <c r="J60" s="336">
        <v>26550</v>
      </c>
      <c r="K60" s="336" t="s">
        <v>1539</v>
      </c>
      <c r="L60" s="286" t="b">
        <f t="shared" si="2"/>
        <v>0</v>
      </c>
      <c r="M60" s="336">
        <v>352</v>
      </c>
      <c r="N60" s="336" t="s">
        <v>1253</v>
      </c>
      <c r="O60" s="336" t="s">
        <v>1258</v>
      </c>
      <c r="P60" s="336">
        <v>22195</v>
      </c>
      <c r="Q60" s="336" t="s">
        <v>1540</v>
      </c>
      <c r="R60" s="286" t="b">
        <f t="shared" si="3"/>
        <v>0</v>
      </c>
    </row>
    <row r="61" spans="1:18" x14ac:dyDescent="0.2">
      <c r="A61" s="336">
        <v>476</v>
      </c>
      <c r="B61" s="336" t="s">
        <v>1406</v>
      </c>
      <c r="C61" s="336" t="s">
        <v>1408</v>
      </c>
      <c r="D61" s="336">
        <v>20625</v>
      </c>
      <c r="E61" s="336" t="s">
        <v>61</v>
      </c>
      <c r="F61" s="286" t="b">
        <f t="shared" si="1"/>
        <v>0</v>
      </c>
      <c r="G61" s="335">
        <v>449</v>
      </c>
      <c r="H61" s="335" t="s">
        <v>1366</v>
      </c>
      <c r="I61" s="335" t="s">
        <v>1367</v>
      </c>
      <c r="J61" s="335">
        <v>22510</v>
      </c>
      <c r="K61" s="335" t="s">
        <v>1539</v>
      </c>
      <c r="L61" s="286" t="b">
        <f t="shared" si="2"/>
        <v>0</v>
      </c>
      <c r="M61" s="335">
        <v>357</v>
      </c>
      <c r="N61" s="335" t="s">
        <v>1265</v>
      </c>
      <c r="O61" s="335" t="s">
        <v>1267</v>
      </c>
      <c r="P61" s="335">
        <v>21765</v>
      </c>
      <c r="Q61" s="335" t="s">
        <v>1540</v>
      </c>
      <c r="R61" s="286" t="b">
        <f t="shared" si="3"/>
        <v>0</v>
      </c>
    </row>
    <row r="62" spans="1:18" x14ac:dyDescent="0.2">
      <c r="A62" s="335">
        <v>534</v>
      </c>
      <c r="B62" s="335" t="s">
        <v>1446</v>
      </c>
      <c r="C62" s="335" t="s">
        <v>1449</v>
      </c>
      <c r="D62" s="335">
        <v>22745</v>
      </c>
      <c r="E62" s="335" t="s">
        <v>61</v>
      </c>
      <c r="F62" s="286" t="b">
        <f t="shared" si="1"/>
        <v>0</v>
      </c>
      <c r="G62" s="336">
        <v>450</v>
      </c>
      <c r="H62" s="336" t="s">
        <v>1372</v>
      </c>
      <c r="I62" s="336" t="s">
        <v>1374</v>
      </c>
      <c r="J62" s="336">
        <v>26990</v>
      </c>
      <c r="K62" s="336" t="s">
        <v>1539</v>
      </c>
      <c r="L62" s="286" t="b">
        <f t="shared" si="2"/>
        <v>0</v>
      </c>
      <c r="M62" s="335">
        <v>363</v>
      </c>
      <c r="N62" s="335" t="s">
        <v>1274</v>
      </c>
      <c r="O62" s="335" t="s">
        <v>1276</v>
      </c>
      <c r="P62" s="335">
        <v>21700</v>
      </c>
      <c r="Q62" s="335" t="s">
        <v>1540</v>
      </c>
      <c r="R62" s="286" t="b">
        <f t="shared" si="3"/>
        <v>0</v>
      </c>
    </row>
    <row r="63" spans="1:18" x14ac:dyDescent="0.2">
      <c r="A63" s="335">
        <v>127</v>
      </c>
      <c r="B63" s="335" t="s">
        <v>999</v>
      </c>
      <c r="C63" s="335" t="s">
        <v>1000</v>
      </c>
      <c r="D63" s="335">
        <v>22595</v>
      </c>
      <c r="E63" s="335" t="s">
        <v>61</v>
      </c>
      <c r="F63" s="286" t="b">
        <f t="shared" si="1"/>
        <v>0</v>
      </c>
      <c r="G63" s="336">
        <v>461</v>
      </c>
      <c r="H63" s="336" t="s">
        <v>1379</v>
      </c>
      <c r="I63" s="336" t="s">
        <v>1387</v>
      </c>
      <c r="J63" s="336">
        <v>22705</v>
      </c>
      <c r="K63" s="336" t="s">
        <v>1539</v>
      </c>
      <c r="L63" s="286" t="b">
        <f t="shared" si="2"/>
        <v>0</v>
      </c>
      <c r="M63" s="336">
        <v>369</v>
      </c>
      <c r="N63" s="336" t="s">
        <v>1283</v>
      </c>
      <c r="O63" s="336" t="s">
        <v>1285</v>
      </c>
      <c r="P63" s="336">
        <v>22120</v>
      </c>
      <c r="Q63" s="336" t="s">
        <v>1540</v>
      </c>
      <c r="R63" s="286" t="b">
        <f t="shared" si="3"/>
        <v>0</v>
      </c>
    </row>
    <row r="64" spans="1:18" x14ac:dyDescent="0.2">
      <c r="A64" s="335">
        <v>131</v>
      </c>
      <c r="B64" s="335" t="s">
        <v>1001</v>
      </c>
      <c r="C64" s="335" t="s">
        <v>1562</v>
      </c>
      <c r="D64" s="335">
        <v>29156</v>
      </c>
      <c r="E64" s="335" t="s">
        <v>1561</v>
      </c>
      <c r="F64" s="286" t="b">
        <f t="shared" si="1"/>
        <v>0</v>
      </c>
      <c r="G64" s="336">
        <v>41</v>
      </c>
      <c r="H64" s="336" t="s">
        <v>935</v>
      </c>
      <c r="I64" s="336" t="s">
        <v>940</v>
      </c>
      <c r="J64" s="336">
        <v>28560</v>
      </c>
      <c r="K64" s="336" t="s">
        <v>1539</v>
      </c>
      <c r="L64" s="286" t="b">
        <f t="shared" si="2"/>
        <v>0</v>
      </c>
      <c r="M64" s="335">
        <v>371</v>
      </c>
      <c r="N64" s="335" t="s">
        <v>1286</v>
      </c>
      <c r="O64" s="335" t="s">
        <v>1303</v>
      </c>
      <c r="P64" s="335">
        <v>27960</v>
      </c>
      <c r="Q64" s="335" t="s">
        <v>1540</v>
      </c>
      <c r="R64" s="286" t="b">
        <f t="shared" si="3"/>
        <v>0</v>
      </c>
    </row>
    <row r="65" spans="1:18" x14ac:dyDescent="0.2">
      <c r="A65" s="336">
        <v>131</v>
      </c>
      <c r="B65" s="336" t="s">
        <v>1001</v>
      </c>
      <c r="C65" s="336" t="s">
        <v>1005</v>
      </c>
      <c r="D65" s="336">
        <v>20380</v>
      </c>
      <c r="E65" s="336" t="s">
        <v>61</v>
      </c>
      <c r="F65" s="286" t="b">
        <f t="shared" si="1"/>
        <v>0</v>
      </c>
      <c r="G65" s="336">
        <v>111</v>
      </c>
      <c r="H65" s="336" t="s">
        <v>970</v>
      </c>
      <c r="I65" s="336" t="s">
        <v>975</v>
      </c>
      <c r="J65" s="336">
        <v>20270</v>
      </c>
      <c r="K65" s="336" t="s">
        <v>1539</v>
      </c>
      <c r="L65" s="286" t="b">
        <f t="shared" si="2"/>
        <v>0</v>
      </c>
      <c r="M65" s="336">
        <v>371</v>
      </c>
      <c r="N65" s="336" t="s">
        <v>1286</v>
      </c>
      <c r="O65" s="336" t="s">
        <v>1292</v>
      </c>
      <c r="P65" s="336">
        <v>21860</v>
      </c>
      <c r="Q65" s="336" t="s">
        <v>1540</v>
      </c>
      <c r="R65" s="286" t="b">
        <f t="shared" si="3"/>
        <v>0</v>
      </c>
    </row>
    <row r="66" spans="1:18" x14ac:dyDescent="0.2">
      <c r="A66" s="336">
        <v>101</v>
      </c>
      <c r="B66" s="336" t="s">
        <v>964</v>
      </c>
      <c r="C66" s="336" t="s">
        <v>968</v>
      </c>
      <c r="D66" s="336">
        <v>20165</v>
      </c>
      <c r="E66" s="336" t="s">
        <v>61</v>
      </c>
      <c r="F66" s="286" t="b">
        <f t="shared" si="1"/>
        <v>0</v>
      </c>
      <c r="G66" s="336">
        <v>476</v>
      </c>
      <c r="H66" s="336" t="s">
        <v>1406</v>
      </c>
      <c r="I66" s="336" t="s">
        <v>1409</v>
      </c>
      <c r="J66" s="336">
        <v>20630</v>
      </c>
      <c r="K66" s="336" t="s">
        <v>1539</v>
      </c>
      <c r="L66" s="286" t="b">
        <f t="shared" si="2"/>
        <v>0</v>
      </c>
      <c r="M66" s="335">
        <v>388</v>
      </c>
      <c r="N66" s="335" t="s">
        <v>1544</v>
      </c>
      <c r="O66" s="335" t="s">
        <v>1314</v>
      </c>
      <c r="P66" s="335">
        <v>20085</v>
      </c>
      <c r="Q66" s="335" t="s">
        <v>1540</v>
      </c>
      <c r="R66" s="286" t="b">
        <f t="shared" si="3"/>
        <v>0</v>
      </c>
    </row>
    <row r="67" spans="1:18" x14ac:dyDescent="0.2">
      <c r="A67" s="335">
        <v>363</v>
      </c>
      <c r="B67" s="335" t="s">
        <v>1274</v>
      </c>
      <c r="C67" s="335" t="s">
        <v>1278</v>
      </c>
      <c r="D67" s="335">
        <v>21665</v>
      </c>
      <c r="E67" s="335" t="s">
        <v>61</v>
      </c>
      <c r="F67" s="286" t="b">
        <f t="shared" si="1"/>
        <v>0</v>
      </c>
      <c r="G67" s="336">
        <v>491</v>
      </c>
      <c r="H67" s="336" t="s">
        <v>1418</v>
      </c>
      <c r="I67" s="336" t="s">
        <v>1419</v>
      </c>
      <c r="J67" s="336">
        <v>22830</v>
      </c>
      <c r="K67" s="336" t="s">
        <v>1539</v>
      </c>
      <c r="L67" s="286" t="b">
        <f t="shared" si="2"/>
        <v>0</v>
      </c>
      <c r="M67" s="336">
        <v>399</v>
      </c>
      <c r="N67" s="336" t="s">
        <v>1320</v>
      </c>
      <c r="O67" s="336" t="s">
        <v>1322</v>
      </c>
      <c r="P67" s="336">
        <v>23115</v>
      </c>
      <c r="Q67" s="336" t="s">
        <v>1540</v>
      </c>
      <c r="R67" s="286" t="b">
        <f t="shared" si="3"/>
        <v>0</v>
      </c>
    </row>
    <row r="68" spans="1:18" x14ac:dyDescent="0.2">
      <c r="A68" s="335">
        <v>267</v>
      </c>
      <c r="B68" s="335" t="s">
        <v>1132</v>
      </c>
      <c r="C68" s="335" t="s">
        <v>1133</v>
      </c>
      <c r="D68" s="335">
        <v>21045</v>
      </c>
      <c r="E68" s="335" t="s">
        <v>61</v>
      </c>
      <c r="F68" s="286" t="b">
        <f t="shared" si="1"/>
        <v>0</v>
      </c>
      <c r="G68" s="336">
        <v>112</v>
      </c>
      <c r="H68" s="336" t="s">
        <v>978</v>
      </c>
      <c r="I68" s="336" t="s">
        <v>987</v>
      </c>
      <c r="J68" s="336">
        <v>22295</v>
      </c>
      <c r="K68" s="336" t="s">
        <v>1539</v>
      </c>
      <c r="L68" s="286" t="b">
        <f t="shared" si="2"/>
        <v>0</v>
      </c>
      <c r="M68" s="335">
        <v>401</v>
      </c>
      <c r="N68" s="335" t="s">
        <v>1324</v>
      </c>
      <c r="O68" s="335" t="s">
        <v>1326</v>
      </c>
      <c r="P68" s="335">
        <v>21985</v>
      </c>
      <c r="Q68" s="335" t="s">
        <v>1540</v>
      </c>
      <c r="R68" s="286" t="b">
        <f t="shared" si="3"/>
        <v>0</v>
      </c>
    </row>
    <row r="69" spans="1:18" x14ac:dyDescent="0.2">
      <c r="A69" s="335">
        <v>473</v>
      </c>
      <c r="B69" s="335" t="s">
        <v>1398</v>
      </c>
      <c r="C69" s="335" t="s">
        <v>1405</v>
      </c>
      <c r="D69" s="335">
        <v>22895</v>
      </c>
      <c r="E69" s="335" t="s">
        <v>61</v>
      </c>
      <c r="F69" s="286" t="b">
        <f t="shared" ref="F69:F132" si="4">C69=C68</f>
        <v>0</v>
      </c>
      <c r="G69" s="336">
        <v>335</v>
      </c>
      <c r="H69" s="336" t="s">
        <v>906</v>
      </c>
      <c r="I69" s="336" t="s">
        <v>1222</v>
      </c>
      <c r="J69" s="336">
        <v>21575</v>
      </c>
      <c r="K69" s="336" t="s">
        <v>1539</v>
      </c>
      <c r="L69" s="286" t="b">
        <f t="shared" ref="L69:L77" si="5">I69=I68</f>
        <v>0</v>
      </c>
      <c r="M69" s="336">
        <v>740</v>
      </c>
      <c r="N69" s="336" t="s">
        <v>1528</v>
      </c>
      <c r="O69" s="336" t="s">
        <v>1528</v>
      </c>
      <c r="P69" s="336">
        <v>29105</v>
      </c>
      <c r="Q69" s="336" t="s">
        <v>1540</v>
      </c>
      <c r="R69" s="286" t="b">
        <f t="shared" ref="R69:R99" si="6">O69=O68</f>
        <v>0</v>
      </c>
    </row>
    <row r="70" spans="1:18" x14ac:dyDescent="0.2">
      <c r="A70" s="335">
        <v>371</v>
      </c>
      <c r="B70" s="335" t="s">
        <v>1286</v>
      </c>
      <c r="C70" s="335" t="s">
        <v>1288</v>
      </c>
      <c r="D70" s="335">
        <v>21835</v>
      </c>
      <c r="E70" s="335" t="s">
        <v>61</v>
      </c>
      <c r="F70" s="286" t="b">
        <f t="shared" si="4"/>
        <v>0</v>
      </c>
      <c r="G70" s="335">
        <v>515</v>
      </c>
      <c r="H70" s="335" t="s">
        <v>1439</v>
      </c>
      <c r="I70" s="335" t="s">
        <v>1545</v>
      </c>
      <c r="J70" s="335">
        <v>26965</v>
      </c>
      <c r="K70" s="335" t="s">
        <v>1539</v>
      </c>
      <c r="L70" s="286" t="b">
        <f t="shared" si="5"/>
        <v>0</v>
      </c>
      <c r="M70" s="336">
        <v>703</v>
      </c>
      <c r="N70" s="336" t="s">
        <v>1495</v>
      </c>
      <c r="O70" s="336" t="s">
        <v>1497</v>
      </c>
      <c r="P70" s="336">
        <v>28395</v>
      </c>
      <c r="Q70" s="336" t="s">
        <v>1540</v>
      </c>
      <c r="R70" s="286" t="b">
        <f t="shared" si="6"/>
        <v>0</v>
      </c>
    </row>
    <row r="71" spans="1:18" x14ac:dyDescent="0.2">
      <c r="A71" s="335">
        <v>112</v>
      </c>
      <c r="B71" s="335" t="s">
        <v>978</v>
      </c>
      <c r="C71" s="335" t="s">
        <v>982</v>
      </c>
      <c r="D71" s="335">
        <v>22230</v>
      </c>
      <c r="E71" s="335" t="s">
        <v>61</v>
      </c>
      <c r="F71" s="286" t="b">
        <f t="shared" si="4"/>
        <v>0</v>
      </c>
      <c r="G71" s="336">
        <v>534</v>
      </c>
      <c r="H71" s="336" t="s">
        <v>1446</v>
      </c>
      <c r="I71" s="336" t="s">
        <v>1450</v>
      </c>
      <c r="J71" s="336">
        <v>22760</v>
      </c>
      <c r="K71" s="336" t="s">
        <v>1539</v>
      </c>
      <c r="L71" s="286" t="b">
        <f t="shared" si="5"/>
        <v>0</v>
      </c>
      <c r="M71" s="336">
        <v>359</v>
      </c>
      <c r="N71" s="336" t="s">
        <v>1270</v>
      </c>
      <c r="O71" s="336" t="s">
        <v>1272</v>
      </c>
      <c r="P71" s="336">
        <v>22070</v>
      </c>
      <c r="Q71" s="336" t="s">
        <v>1540</v>
      </c>
      <c r="R71" s="286" t="b">
        <f t="shared" si="6"/>
        <v>0</v>
      </c>
    </row>
    <row r="72" spans="1:18" x14ac:dyDescent="0.2">
      <c r="A72" s="335">
        <v>149</v>
      </c>
      <c r="B72" s="335" t="s">
        <v>1018</v>
      </c>
      <c r="C72" s="335" t="s">
        <v>1019</v>
      </c>
      <c r="D72" s="335">
        <v>20685</v>
      </c>
      <c r="E72" s="335" t="s">
        <v>61</v>
      </c>
      <c r="F72" s="286" t="b">
        <f t="shared" si="4"/>
        <v>0</v>
      </c>
      <c r="G72" s="335">
        <v>555</v>
      </c>
      <c r="H72" s="335" t="s">
        <v>1464</v>
      </c>
      <c r="I72" s="335" t="s">
        <v>1466</v>
      </c>
      <c r="J72" s="335">
        <v>20720</v>
      </c>
      <c r="K72" s="335" t="s">
        <v>1539</v>
      </c>
      <c r="L72" s="286" t="b">
        <f t="shared" si="5"/>
        <v>0</v>
      </c>
      <c r="M72" s="335">
        <v>423</v>
      </c>
      <c r="N72" s="335" t="s">
        <v>1338</v>
      </c>
      <c r="O72" s="335" t="s">
        <v>1341</v>
      </c>
      <c r="P72" s="335">
        <v>22800</v>
      </c>
      <c r="Q72" s="335" t="s">
        <v>1540</v>
      </c>
      <c r="R72" s="286" t="b">
        <f t="shared" si="6"/>
        <v>0</v>
      </c>
    </row>
    <row r="73" spans="1:18" x14ac:dyDescent="0.2">
      <c r="A73" s="335">
        <v>33</v>
      </c>
      <c r="B73" s="335" t="s">
        <v>927</v>
      </c>
      <c r="C73" s="335" t="s">
        <v>930</v>
      </c>
      <c r="D73" s="335">
        <v>29010</v>
      </c>
      <c r="E73" s="335" t="s">
        <v>61</v>
      </c>
      <c r="F73" s="286" t="b">
        <f t="shared" si="4"/>
        <v>0</v>
      </c>
      <c r="G73" s="335">
        <v>131</v>
      </c>
      <c r="H73" s="335" t="s">
        <v>1001</v>
      </c>
      <c r="I73" s="335" t="s">
        <v>1002</v>
      </c>
      <c r="J73" s="335">
        <v>27065</v>
      </c>
      <c r="K73" s="335" t="s">
        <v>1539</v>
      </c>
      <c r="L73" s="286" t="b">
        <f t="shared" si="5"/>
        <v>0</v>
      </c>
      <c r="M73" s="336">
        <v>425</v>
      </c>
      <c r="N73" s="336" t="s">
        <v>1343</v>
      </c>
      <c r="O73" s="336" t="s">
        <v>1345</v>
      </c>
      <c r="P73" s="336">
        <v>21105</v>
      </c>
      <c r="Q73" s="336" t="s">
        <v>1540</v>
      </c>
      <c r="R73" s="286" t="b">
        <f t="shared" si="6"/>
        <v>0</v>
      </c>
    </row>
    <row r="74" spans="1:18" x14ac:dyDescent="0.2">
      <c r="A74" s="335">
        <v>131</v>
      </c>
      <c r="B74" s="335" t="s">
        <v>1001</v>
      </c>
      <c r="C74" s="335" t="s">
        <v>1004</v>
      </c>
      <c r="D74" s="335">
        <v>20370</v>
      </c>
      <c r="E74" s="335" t="s">
        <v>61</v>
      </c>
      <c r="F74" s="286" t="b">
        <f t="shared" si="4"/>
        <v>0</v>
      </c>
      <c r="G74" s="336">
        <v>572</v>
      </c>
      <c r="H74" s="336" t="s">
        <v>1475</v>
      </c>
      <c r="I74" s="336" t="s">
        <v>1479</v>
      </c>
      <c r="J74" s="336">
        <v>26955</v>
      </c>
      <c r="K74" s="336" t="s">
        <v>1539</v>
      </c>
      <c r="L74" s="286" t="b">
        <f t="shared" si="5"/>
        <v>0</v>
      </c>
      <c r="M74" s="335">
        <v>427</v>
      </c>
      <c r="N74" s="335" t="s">
        <v>1347</v>
      </c>
      <c r="O74" s="335" t="s">
        <v>1349</v>
      </c>
      <c r="P74" s="335">
        <v>22620</v>
      </c>
      <c r="Q74" s="335" t="s">
        <v>1540</v>
      </c>
      <c r="R74" s="286" t="b">
        <f t="shared" si="6"/>
        <v>0</v>
      </c>
    </row>
    <row r="75" spans="1:18" x14ac:dyDescent="0.2">
      <c r="A75" s="336">
        <v>153</v>
      </c>
      <c r="B75" s="336" t="s">
        <v>1020</v>
      </c>
      <c r="C75" s="336" t="s">
        <v>1021</v>
      </c>
      <c r="D75" s="336">
        <v>20565</v>
      </c>
      <c r="E75" s="336" t="s">
        <v>61</v>
      </c>
      <c r="F75" s="286" t="b">
        <f t="shared" si="4"/>
        <v>0</v>
      </c>
      <c r="G75" s="335">
        <v>575</v>
      </c>
      <c r="H75" s="335" t="s">
        <v>1481</v>
      </c>
      <c r="I75" s="335" t="s">
        <v>1482</v>
      </c>
      <c r="J75" s="335">
        <v>21125</v>
      </c>
      <c r="K75" s="335" t="s">
        <v>1539</v>
      </c>
      <c r="L75" s="286" t="b">
        <f t="shared" si="5"/>
        <v>0</v>
      </c>
      <c r="M75" s="335">
        <v>437</v>
      </c>
      <c r="N75" s="335" t="s">
        <v>1355</v>
      </c>
      <c r="O75" s="335" t="s">
        <v>1357</v>
      </c>
      <c r="P75" s="335">
        <v>26500</v>
      </c>
      <c r="Q75" s="335" t="s">
        <v>1540</v>
      </c>
      <c r="R75" s="286" t="b">
        <f t="shared" si="6"/>
        <v>0</v>
      </c>
    </row>
    <row r="76" spans="1:18" x14ac:dyDescent="0.2">
      <c r="A76" s="336">
        <v>461</v>
      </c>
      <c r="B76" s="336" t="s">
        <v>1379</v>
      </c>
      <c r="C76" s="336" t="s">
        <v>1380</v>
      </c>
      <c r="D76" s="336">
        <v>22650</v>
      </c>
      <c r="E76" s="336" t="s">
        <v>61</v>
      </c>
      <c r="F76" s="286" t="b">
        <f t="shared" si="4"/>
        <v>0</v>
      </c>
      <c r="G76" s="336">
        <v>582</v>
      </c>
      <c r="H76" s="336" t="s">
        <v>1488</v>
      </c>
      <c r="I76" s="336" t="s">
        <v>1492</v>
      </c>
      <c r="J76" s="336">
        <v>22955</v>
      </c>
      <c r="K76" s="336" t="s">
        <v>1539</v>
      </c>
      <c r="L76" s="286" t="b">
        <f t="shared" si="5"/>
        <v>0</v>
      </c>
      <c r="M76" s="336">
        <v>439</v>
      </c>
      <c r="N76" s="336" t="s">
        <v>1358</v>
      </c>
      <c r="O76" s="336" t="s">
        <v>1361</v>
      </c>
      <c r="P76" s="336">
        <v>22500</v>
      </c>
      <c r="Q76" s="336" t="s">
        <v>1540</v>
      </c>
      <c r="R76" s="286" t="b">
        <f t="shared" si="6"/>
        <v>0</v>
      </c>
    </row>
    <row r="77" spans="1:18" x14ac:dyDescent="0.2">
      <c r="A77" s="335">
        <v>203</v>
      </c>
      <c r="B77" s="335" t="s">
        <v>1070</v>
      </c>
      <c r="C77" s="335" t="s">
        <v>1071</v>
      </c>
      <c r="D77" s="335">
        <v>20745</v>
      </c>
      <c r="E77" s="335" t="s">
        <v>61</v>
      </c>
      <c r="F77" s="286" t="b">
        <f t="shared" si="4"/>
        <v>0</v>
      </c>
      <c r="G77" s="335">
        <v>473</v>
      </c>
      <c r="H77" s="335" t="s">
        <v>1398</v>
      </c>
      <c r="I77" s="335" t="s">
        <v>1399</v>
      </c>
      <c r="J77" s="335">
        <v>22850</v>
      </c>
      <c r="K77" s="335" t="s">
        <v>1539</v>
      </c>
      <c r="L77" s="286" t="b">
        <f t="shared" si="5"/>
        <v>0</v>
      </c>
      <c r="M77" s="336">
        <v>428</v>
      </c>
      <c r="N77" s="336" t="s">
        <v>1351</v>
      </c>
      <c r="O77" s="336" t="s">
        <v>1352</v>
      </c>
      <c r="P77" s="336">
        <v>22350</v>
      </c>
      <c r="Q77" s="336" t="s">
        <v>1540</v>
      </c>
      <c r="R77" s="286" t="b">
        <f t="shared" si="6"/>
        <v>0</v>
      </c>
    </row>
    <row r="78" spans="1:18" x14ac:dyDescent="0.2">
      <c r="A78" s="336">
        <v>208</v>
      </c>
      <c r="B78" s="336" t="s">
        <v>1074</v>
      </c>
      <c r="C78" s="336" t="s">
        <v>1075</v>
      </c>
      <c r="D78" s="336">
        <v>22395</v>
      </c>
      <c r="E78" s="336" t="s">
        <v>61</v>
      </c>
      <c r="F78" s="286" t="b">
        <f t="shared" si="4"/>
        <v>0</v>
      </c>
      <c r="G78" s="334"/>
      <c r="H78" s="334"/>
      <c r="I78" s="334"/>
      <c r="J78" s="334"/>
      <c r="K78" s="334"/>
      <c r="L78" s="286"/>
      <c r="M78" s="335">
        <v>449</v>
      </c>
      <c r="N78" s="335" t="s">
        <v>1366</v>
      </c>
      <c r="O78" s="335" t="s">
        <v>1371</v>
      </c>
      <c r="P78" s="335">
        <v>22565</v>
      </c>
      <c r="Q78" s="335" t="s">
        <v>1540</v>
      </c>
      <c r="R78" s="286" t="b">
        <f t="shared" si="6"/>
        <v>0</v>
      </c>
    </row>
    <row r="79" spans="1:18" x14ac:dyDescent="0.2">
      <c r="A79" s="335">
        <v>189</v>
      </c>
      <c r="B79" s="335" t="s">
        <v>1057</v>
      </c>
      <c r="C79" s="335" t="s">
        <v>1058</v>
      </c>
      <c r="D79" s="335">
        <v>20525</v>
      </c>
      <c r="E79" s="335" t="s">
        <v>61</v>
      </c>
      <c r="F79" s="286" t="b">
        <f t="shared" si="4"/>
        <v>0</v>
      </c>
      <c r="G79" s="334"/>
      <c r="H79" s="334"/>
      <c r="I79" s="334"/>
      <c r="J79" s="334"/>
      <c r="K79" s="334"/>
      <c r="L79" s="286"/>
      <c r="M79" s="336">
        <v>450</v>
      </c>
      <c r="N79" s="336" t="s">
        <v>1372</v>
      </c>
      <c r="O79" s="336" t="s">
        <v>1373</v>
      </c>
      <c r="P79" s="336">
        <v>21395</v>
      </c>
      <c r="Q79" s="336" t="s">
        <v>1540</v>
      </c>
      <c r="R79" s="286" t="b">
        <f t="shared" si="6"/>
        <v>0</v>
      </c>
    </row>
    <row r="80" spans="1:18" x14ac:dyDescent="0.2">
      <c r="A80" s="335">
        <v>285</v>
      </c>
      <c r="B80" s="335" t="s">
        <v>1168</v>
      </c>
      <c r="C80" s="335" t="s">
        <v>1173</v>
      </c>
      <c r="D80" s="335">
        <v>21290</v>
      </c>
      <c r="E80" s="335" t="s">
        <v>61</v>
      </c>
      <c r="F80" s="286" t="b">
        <f t="shared" si="4"/>
        <v>0</v>
      </c>
      <c r="G80" s="334"/>
      <c r="H80" s="334"/>
      <c r="I80" s="334"/>
      <c r="J80" s="334"/>
      <c r="K80" s="334"/>
      <c r="L80" s="286"/>
      <c r="M80" s="336">
        <v>970</v>
      </c>
      <c r="N80" s="336" t="s">
        <v>1638</v>
      </c>
      <c r="O80" s="336" t="s">
        <v>1639</v>
      </c>
      <c r="P80" s="336">
        <v>28215</v>
      </c>
      <c r="Q80" s="336" t="s">
        <v>1540</v>
      </c>
      <c r="R80" s="286" t="b">
        <f t="shared" si="6"/>
        <v>0</v>
      </c>
    </row>
    <row r="81" spans="1:18" x14ac:dyDescent="0.2">
      <c r="A81" s="335">
        <v>343</v>
      </c>
      <c r="B81" s="335" t="s">
        <v>1239</v>
      </c>
      <c r="C81" s="335" t="s">
        <v>1242</v>
      </c>
      <c r="D81" s="335">
        <v>21325</v>
      </c>
      <c r="E81" s="335" t="s">
        <v>61</v>
      </c>
      <c r="F81" s="286" t="b">
        <f t="shared" si="4"/>
        <v>0</v>
      </c>
      <c r="G81" s="334"/>
      <c r="H81" s="334"/>
      <c r="I81" s="334"/>
      <c r="J81" s="334"/>
      <c r="K81" s="334"/>
      <c r="L81" s="286"/>
      <c r="M81" s="335">
        <v>453</v>
      </c>
      <c r="N81" s="335" t="s">
        <v>1375</v>
      </c>
      <c r="O81" s="335" t="s">
        <v>1377</v>
      </c>
      <c r="P81" s="335">
        <v>21390</v>
      </c>
      <c r="Q81" s="335" t="s">
        <v>1540</v>
      </c>
      <c r="R81" s="286" t="b">
        <f t="shared" si="6"/>
        <v>0</v>
      </c>
    </row>
    <row r="82" spans="1:18" x14ac:dyDescent="0.2">
      <c r="A82" s="335">
        <v>165</v>
      </c>
      <c r="B82" s="335" t="s">
        <v>1022</v>
      </c>
      <c r="C82" s="335" t="s">
        <v>1024</v>
      </c>
      <c r="D82" s="335">
        <v>26510</v>
      </c>
      <c r="E82" s="335" t="s">
        <v>61</v>
      </c>
      <c r="F82" s="286" t="b">
        <f t="shared" si="4"/>
        <v>0</v>
      </c>
      <c r="M82" s="336">
        <v>457</v>
      </c>
      <c r="N82" s="336" t="s">
        <v>1633</v>
      </c>
      <c r="O82" s="336" t="s">
        <v>1637</v>
      </c>
      <c r="P82" s="336">
        <v>29197</v>
      </c>
      <c r="Q82" s="336" t="s">
        <v>1540</v>
      </c>
      <c r="R82" s="286" t="b">
        <f t="shared" si="6"/>
        <v>0</v>
      </c>
    </row>
    <row r="83" spans="1:18" x14ac:dyDescent="0.2">
      <c r="A83" s="336">
        <v>167</v>
      </c>
      <c r="B83" s="336" t="s">
        <v>1025</v>
      </c>
      <c r="C83" s="336" t="s">
        <v>1026</v>
      </c>
      <c r="D83" s="336">
        <v>22600</v>
      </c>
      <c r="E83" s="336" t="s">
        <v>61</v>
      </c>
      <c r="F83" s="286" t="b">
        <f t="shared" si="4"/>
        <v>0</v>
      </c>
      <c r="M83" s="335">
        <v>473</v>
      </c>
      <c r="N83" s="335" t="s">
        <v>1398</v>
      </c>
      <c r="O83" s="335" t="s">
        <v>1403</v>
      </c>
      <c r="P83" s="335">
        <v>22880</v>
      </c>
      <c r="Q83" s="335" t="s">
        <v>1540</v>
      </c>
      <c r="R83" s="286" t="b">
        <f t="shared" si="6"/>
        <v>0</v>
      </c>
    </row>
    <row r="84" spans="1:18" x14ac:dyDescent="0.2">
      <c r="A84" s="336">
        <v>131</v>
      </c>
      <c r="B84" s="336" t="s">
        <v>1001</v>
      </c>
      <c r="C84" s="336" t="s">
        <v>1003</v>
      </c>
      <c r="D84" s="336">
        <v>28465</v>
      </c>
      <c r="E84" s="336" t="s">
        <v>61</v>
      </c>
      <c r="F84" s="286" t="b">
        <f t="shared" si="4"/>
        <v>0</v>
      </c>
      <c r="M84" s="336">
        <v>476</v>
      </c>
      <c r="N84" s="336" t="s">
        <v>1406</v>
      </c>
      <c r="O84" s="336" t="s">
        <v>1407</v>
      </c>
      <c r="P84" s="336">
        <v>20620</v>
      </c>
      <c r="Q84" s="336" t="s">
        <v>1540</v>
      </c>
      <c r="R84" s="286" t="b">
        <f t="shared" si="6"/>
        <v>0</v>
      </c>
    </row>
    <row r="85" spans="1:18" x14ac:dyDescent="0.2">
      <c r="A85" s="335">
        <v>171</v>
      </c>
      <c r="B85" s="335" t="s">
        <v>1027</v>
      </c>
      <c r="C85" s="335" t="s">
        <v>1028</v>
      </c>
      <c r="D85" s="335">
        <v>20735</v>
      </c>
      <c r="E85" s="335" t="s">
        <v>61</v>
      </c>
      <c r="F85" s="286" t="b">
        <f t="shared" si="4"/>
        <v>0</v>
      </c>
      <c r="M85" s="336">
        <v>491</v>
      </c>
      <c r="N85" s="336" t="s">
        <v>1418</v>
      </c>
      <c r="O85" s="336" t="s">
        <v>1420</v>
      </c>
      <c r="P85" s="336">
        <v>22845</v>
      </c>
      <c r="Q85" s="336" t="s">
        <v>1540</v>
      </c>
      <c r="R85" s="286" t="b">
        <f t="shared" si="6"/>
        <v>0</v>
      </c>
    </row>
    <row r="86" spans="1:18" x14ac:dyDescent="0.2">
      <c r="A86" s="336">
        <v>371</v>
      </c>
      <c r="B86" s="336" t="s">
        <v>1286</v>
      </c>
      <c r="C86" s="336" t="s">
        <v>1289</v>
      </c>
      <c r="D86" s="336">
        <v>21840</v>
      </c>
      <c r="E86" s="336" t="s">
        <v>61</v>
      </c>
      <c r="F86" s="286" t="b">
        <f t="shared" si="4"/>
        <v>0</v>
      </c>
      <c r="M86" s="335">
        <v>493</v>
      </c>
      <c r="N86" s="335" t="s">
        <v>1423</v>
      </c>
      <c r="O86" s="335" t="s">
        <v>1424</v>
      </c>
      <c r="P86" s="335">
        <v>26860</v>
      </c>
      <c r="Q86" s="335" t="s">
        <v>1540</v>
      </c>
      <c r="R86" s="286" t="b">
        <f t="shared" si="6"/>
        <v>0</v>
      </c>
    </row>
    <row r="87" spans="1:18" x14ac:dyDescent="0.2">
      <c r="A87" s="336">
        <v>174</v>
      </c>
      <c r="B87" s="336" t="s">
        <v>1035</v>
      </c>
      <c r="C87" s="336" t="s">
        <v>1563</v>
      </c>
      <c r="D87" s="336">
        <v>27395</v>
      </c>
      <c r="E87" s="336" t="s">
        <v>1561</v>
      </c>
      <c r="F87" s="286" t="b">
        <f t="shared" si="4"/>
        <v>0</v>
      </c>
      <c r="M87" s="335">
        <v>714</v>
      </c>
      <c r="N87" s="335" t="s">
        <v>1618</v>
      </c>
      <c r="O87" s="335" t="s">
        <v>1619</v>
      </c>
      <c r="P87" s="335">
        <v>29221</v>
      </c>
      <c r="Q87" s="335" t="s">
        <v>1540</v>
      </c>
      <c r="R87" s="286" t="b">
        <f t="shared" si="6"/>
        <v>0</v>
      </c>
    </row>
    <row r="88" spans="1:18" x14ac:dyDescent="0.2">
      <c r="A88" s="335">
        <v>572</v>
      </c>
      <c r="B88" s="335" t="s">
        <v>1475</v>
      </c>
      <c r="C88" s="335" t="s">
        <v>1477</v>
      </c>
      <c r="D88" s="335">
        <v>23060</v>
      </c>
      <c r="E88" s="335" t="s">
        <v>61</v>
      </c>
      <c r="F88" s="286" t="b">
        <f t="shared" si="4"/>
        <v>0</v>
      </c>
      <c r="M88" s="336">
        <v>461</v>
      </c>
      <c r="N88" s="336" t="s">
        <v>1379</v>
      </c>
      <c r="O88" s="336" t="s">
        <v>1386</v>
      </c>
      <c r="P88" s="336">
        <v>22700</v>
      </c>
      <c r="Q88" s="336" t="s">
        <v>1540</v>
      </c>
      <c r="R88" s="286" t="b">
        <f t="shared" si="6"/>
        <v>0</v>
      </c>
    </row>
    <row r="89" spans="1:18" x14ac:dyDescent="0.2">
      <c r="A89" s="336">
        <v>142</v>
      </c>
      <c r="B89" s="336" t="s">
        <v>1015</v>
      </c>
      <c r="C89" s="336" t="s">
        <v>1017</v>
      </c>
      <c r="D89" s="336">
        <v>20825</v>
      </c>
      <c r="E89" s="336" t="s">
        <v>61</v>
      </c>
      <c r="F89" s="286" t="b">
        <f t="shared" si="4"/>
        <v>0</v>
      </c>
      <c r="M89" s="335">
        <v>101</v>
      </c>
      <c r="N89" s="335" t="s">
        <v>964</v>
      </c>
      <c r="O89" s="335" t="s">
        <v>966</v>
      </c>
      <c r="P89" s="335">
        <v>20140</v>
      </c>
      <c r="Q89" s="335" t="s">
        <v>1540</v>
      </c>
      <c r="R89" s="286" t="b">
        <f t="shared" si="6"/>
        <v>0</v>
      </c>
    </row>
    <row r="90" spans="1:18" x14ac:dyDescent="0.2">
      <c r="A90" s="336">
        <v>112</v>
      </c>
      <c r="B90" s="336" t="s">
        <v>978</v>
      </c>
      <c r="C90" s="336" t="s">
        <v>983</v>
      </c>
      <c r="D90" s="336">
        <v>22245</v>
      </c>
      <c r="E90" s="336" t="s">
        <v>61</v>
      </c>
      <c r="F90" s="286" t="b">
        <f t="shared" si="4"/>
        <v>0</v>
      </c>
      <c r="M90" s="336">
        <v>515</v>
      </c>
      <c r="N90" s="336" t="s">
        <v>1439</v>
      </c>
      <c r="O90" s="336" t="s">
        <v>1440</v>
      </c>
      <c r="P90" s="336">
        <v>22000</v>
      </c>
      <c r="Q90" s="336" t="s">
        <v>1540</v>
      </c>
      <c r="R90" s="286" t="b">
        <f t="shared" si="6"/>
        <v>0</v>
      </c>
    </row>
    <row r="91" spans="1:18" x14ac:dyDescent="0.2">
      <c r="A91" s="336">
        <v>279</v>
      </c>
      <c r="B91" s="336" t="s">
        <v>1159</v>
      </c>
      <c r="C91" s="336" t="s">
        <v>1163</v>
      </c>
      <c r="D91" s="336">
        <v>21190</v>
      </c>
      <c r="E91" s="336" t="s">
        <v>61</v>
      </c>
      <c r="F91" s="286" t="b">
        <f t="shared" si="4"/>
        <v>0</v>
      </c>
      <c r="M91" s="335">
        <v>741</v>
      </c>
      <c r="N91" s="335" t="s">
        <v>1529</v>
      </c>
      <c r="O91" s="335" t="s">
        <v>1530</v>
      </c>
      <c r="P91" s="335">
        <v>29149</v>
      </c>
      <c r="Q91" s="335" t="s">
        <v>1540</v>
      </c>
      <c r="R91" s="286" t="b">
        <f t="shared" si="6"/>
        <v>0</v>
      </c>
    </row>
    <row r="92" spans="1:18" x14ac:dyDescent="0.2">
      <c r="A92" s="336">
        <v>185</v>
      </c>
      <c r="B92" s="336" t="s">
        <v>1051</v>
      </c>
      <c r="C92" s="336" t="s">
        <v>1054</v>
      </c>
      <c r="D92" s="336">
        <v>26755</v>
      </c>
      <c r="E92" s="336" t="s">
        <v>61</v>
      </c>
      <c r="F92" s="286" t="b">
        <f t="shared" si="4"/>
        <v>0</v>
      </c>
      <c r="M92" s="335">
        <v>534</v>
      </c>
      <c r="N92" s="335" t="s">
        <v>1446</v>
      </c>
      <c r="O92" s="335" t="s">
        <v>1452</v>
      </c>
      <c r="P92" s="335">
        <v>22770</v>
      </c>
      <c r="Q92" s="335" t="s">
        <v>1540</v>
      </c>
      <c r="R92" s="286" t="b">
        <f t="shared" si="6"/>
        <v>0</v>
      </c>
    </row>
    <row r="93" spans="1:18" x14ac:dyDescent="0.2">
      <c r="A93" s="335">
        <v>261</v>
      </c>
      <c r="B93" s="335" t="s">
        <v>1123</v>
      </c>
      <c r="C93" s="335" t="s">
        <v>1125</v>
      </c>
      <c r="D93" s="335">
        <v>20550</v>
      </c>
      <c r="E93" s="335" t="s">
        <v>61</v>
      </c>
      <c r="F93" s="286" t="b">
        <f t="shared" si="4"/>
        <v>0</v>
      </c>
      <c r="M93" s="335">
        <v>727</v>
      </c>
      <c r="N93" s="335" t="s">
        <v>1516</v>
      </c>
      <c r="O93" s="335" t="s">
        <v>1518</v>
      </c>
      <c r="P93" s="335">
        <v>28605</v>
      </c>
      <c r="Q93" s="335" t="s">
        <v>1540</v>
      </c>
      <c r="R93" s="286" t="b">
        <f t="shared" si="6"/>
        <v>0</v>
      </c>
    </row>
    <row r="94" spans="1:18" x14ac:dyDescent="0.2">
      <c r="A94" s="336">
        <v>187</v>
      </c>
      <c r="B94" s="336" t="s">
        <v>1055</v>
      </c>
      <c r="C94" s="336" t="s">
        <v>1056</v>
      </c>
      <c r="D94" s="336">
        <v>20350</v>
      </c>
      <c r="E94" s="336" t="s">
        <v>61</v>
      </c>
      <c r="F94" s="286" t="b">
        <f t="shared" si="4"/>
        <v>0</v>
      </c>
      <c r="M94" s="336">
        <v>568</v>
      </c>
      <c r="N94" s="336" t="s">
        <v>1471</v>
      </c>
      <c r="O94" s="336" t="s">
        <v>1474</v>
      </c>
      <c r="P94" s="336">
        <v>21480</v>
      </c>
      <c r="Q94" s="336" t="s">
        <v>1540</v>
      </c>
      <c r="R94" s="286" t="b">
        <f t="shared" si="6"/>
        <v>0</v>
      </c>
    </row>
    <row r="95" spans="1:18" x14ac:dyDescent="0.2">
      <c r="A95" s="335">
        <v>279</v>
      </c>
      <c r="B95" s="335" t="s">
        <v>1159</v>
      </c>
      <c r="C95" s="335" t="s">
        <v>1160</v>
      </c>
      <c r="D95" s="335">
        <v>21165</v>
      </c>
      <c r="E95" s="335" t="s">
        <v>61</v>
      </c>
      <c r="F95" s="286" t="b">
        <f t="shared" si="4"/>
        <v>0</v>
      </c>
      <c r="M95" s="335">
        <v>572</v>
      </c>
      <c r="N95" s="335" t="s">
        <v>1475</v>
      </c>
      <c r="O95" s="335" t="s">
        <v>1478</v>
      </c>
      <c r="P95" s="335">
        <v>23070</v>
      </c>
      <c r="Q95" s="335" t="s">
        <v>1540</v>
      </c>
      <c r="R95" s="286" t="b">
        <f t="shared" si="6"/>
        <v>0</v>
      </c>
    </row>
    <row r="96" spans="1:18" x14ac:dyDescent="0.2">
      <c r="A96" s="335">
        <v>141</v>
      </c>
      <c r="B96" s="335" t="s">
        <v>1009</v>
      </c>
      <c r="C96" s="335" t="s">
        <v>1010</v>
      </c>
      <c r="D96" s="335">
        <v>20430</v>
      </c>
      <c r="E96" s="335" t="s">
        <v>61</v>
      </c>
      <c r="F96" s="286" t="b">
        <f t="shared" si="4"/>
        <v>0</v>
      </c>
      <c r="M96" s="336">
        <v>575</v>
      </c>
      <c r="N96" s="336" t="s">
        <v>1481</v>
      </c>
      <c r="O96" s="336" t="s">
        <v>1485</v>
      </c>
      <c r="P96" s="336">
        <v>28640</v>
      </c>
      <c r="Q96" s="336" t="s">
        <v>1540</v>
      </c>
      <c r="R96" s="286" t="b">
        <f t="shared" si="6"/>
        <v>0</v>
      </c>
    </row>
    <row r="97" spans="1:18" x14ac:dyDescent="0.2">
      <c r="A97" s="335">
        <v>742</v>
      </c>
      <c r="B97" s="335" t="s">
        <v>1532</v>
      </c>
      <c r="C97" s="335" t="s">
        <v>1533</v>
      </c>
      <c r="D97" s="335">
        <v>29151</v>
      </c>
      <c r="E97" s="335" t="s">
        <v>61</v>
      </c>
      <c r="F97" s="286" t="b">
        <f t="shared" si="4"/>
        <v>0</v>
      </c>
      <c r="M97" s="335">
        <v>581</v>
      </c>
      <c r="N97" s="335" t="s">
        <v>1486</v>
      </c>
      <c r="O97" s="335" t="s">
        <v>1487</v>
      </c>
      <c r="P97" s="335">
        <v>20780</v>
      </c>
      <c r="Q97" s="335" t="s">
        <v>1540</v>
      </c>
      <c r="R97" s="286" t="b">
        <f t="shared" si="6"/>
        <v>0</v>
      </c>
    </row>
    <row r="98" spans="1:18" x14ac:dyDescent="0.2">
      <c r="A98" s="336">
        <v>191</v>
      </c>
      <c r="B98" s="336" t="s">
        <v>1059</v>
      </c>
      <c r="C98" s="336" t="s">
        <v>1061</v>
      </c>
      <c r="D98" s="336">
        <v>21245</v>
      </c>
      <c r="E98" s="336" t="s">
        <v>61</v>
      </c>
      <c r="F98" s="286" t="b">
        <f t="shared" si="4"/>
        <v>0</v>
      </c>
      <c r="M98" s="336">
        <v>582</v>
      </c>
      <c r="N98" s="336" t="s">
        <v>1488</v>
      </c>
      <c r="O98" s="336" t="s">
        <v>1491</v>
      </c>
      <c r="P98" s="336">
        <v>22950</v>
      </c>
      <c r="Q98" s="336" t="s">
        <v>1540</v>
      </c>
      <c r="R98" s="286" t="b">
        <f t="shared" si="6"/>
        <v>0</v>
      </c>
    </row>
    <row r="99" spans="1:18" x14ac:dyDescent="0.2">
      <c r="A99" s="335">
        <v>195</v>
      </c>
      <c r="B99" s="335" t="s">
        <v>1063</v>
      </c>
      <c r="C99" s="335" t="s">
        <v>1064</v>
      </c>
      <c r="D99" s="335">
        <v>21250</v>
      </c>
      <c r="E99" s="335" t="s">
        <v>61</v>
      </c>
      <c r="F99" s="286" t="b">
        <f t="shared" si="4"/>
        <v>0</v>
      </c>
      <c r="M99" s="335">
        <v>238</v>
      </c>
      <c r="N99" s="335" t="s">
        <v>1099</v>
      </c>
      <c r="O99" s="335" t="s">
        <v>1101</v>
      </c>
      <c r="P99" s="335">
        <v>20910</v>
      </c>
      <c r="Q99" s="335" t="s">
        <v>1540</v>
      </c>
      <c r="R99" s="286" t="b">
        <f t="shared" si="6"/>
        <v>0</v>
      </c>
    </row>
    <row r="100" spans="1:18" x14ac:dyDescent="0.2">
      <c r="A100" s="336">
        <v>363</v>
      </c>
      <c r="B100" s="336" t="s">
        <v>1274</v>
      </c>
      <c r="C100" s="336" t="s">
        <v>1609</v>
      </c>
      <c r="D100" s="336">
        <v>21670</v>
      </c>
      <c r="E100" s="336" t="s">
        <v>61</v>
      </c>
      <c r="F100" s="286" t="b">
        <f t="shared" si="4"/>
        <v>0</v>
      </c>
      <c r="M100" s="334"/>
      <c r="N100" s="334"/>
      <c r="O100" s="334"/>
      <c r="P100" s="334"/>
      <c r="Q100" s="334"/>
      <c r="R100" s="286"/>
    </row>
    <row r="101" spans="1:18" x14ac:dyDescent="0.2">
      <c r="A101" s="335">
        <v>199</v>
      </c>
      <c r="B101" s="335" t="s">
        <v>1065</v>
      </c>
      <c r="C101" s="335" t="s">
        <v>1067</v>
      </c>
      <c r="D101" s="335">
        <v>28525</v>
      </c>
      <c r="E101" s="335" t="s">
        <v>61</v>
      </c>
      <c r="F101" s="286" t="b">
        <f t="shared" si="4"/>
        <v>0</v>
      </c>
      <c r="M101" s="334"/>
      <c r="N101" s="334"/>
      <c r="O101" s="334"/>
      <c r="P101" s="334"/>
      <c r="Q101" s="334"/>
      <c r="R101" s="286"/>
    </row>
    <row r="102" spans="1:18" x14ac:dyDescent="0.2">
      <c r="A102" s="336">
        <v>575</v>
      </c>
      <c r="B102" s="336" t="s">
        <v>1481</v>
      </c>
      <c r="C102" s="336" t="s">
        <v>1483</v>
      </c>
      <c r="D102" s="336">
        <v>21130</v>
      </c>
      <c r="E102" s="336" t="s">
        <v>61</v>
      </c>
      <c r="F102" s="286" t="b">
        <f t="shared" si="4"/>
        <v>0</v>
      </c>
      <c r="M102" s="334"/>
      <c r="N102" s="334"/>
      <c r="O102" s="334"/>
      <c r="P102" s="334"/>
      <c r="Q102" s="334"/>
      <c r="R102" s="286"/>
    </row>
    <row r="103" spans="1:18" x14ac:dyDescent="0.2">
      <c r="A103" s="335">
        <v>461</v>
      </c>
      <c r="B103" s="335" t="s">
        <v>1379</v>
      </c>
      <c r="C103" s="335" t="s">
        <v>1389</v>
      </c>
      <c r="D103" s="335">
        <v>22725</v>
      </c>
      <c r="E103" s="335" t="s">
        <v>61</v>
      </c>
      <c r="F103" s="286" t="b">
        <f t="shared" si="4"/>
        <v>0</v>
      </c>
      <c r="M103" s="334"/>
      <c r="N103" s="334"/>
      <c r="O103" s="334"/>
      <c r="P103" s="334"/>
      <c r="Q103" s="334"/>
      <c r="R103" s="286"/>
    </row>
    <row r="104" spans="1:18" x14ac:dyDescent="0.2">
      <c r="A104" s="335">
        <v>335</v>
      </c>
      <c r="B104" s="335" t="s">
        <v>906</v>
      </c>
      <c r="C104" s="335" t="s">
        <v>1216</v>
      </c>
      <c r="D104" s="335">
        <v>21530</v>
      </c>
      <c r="E104" s="335" t="s">
        <v>61</v>
      </c>
      <c r="F104" s="286" t="b">
        <f t="shared" si="4"/>
        <v>0</v>
      </c>
      <c r="M104" s="334"/>
      <c r="N104" s="334"/>
      <c r="O104" s="334"/>
      <c r="P104" s="334"/>
      <c r="Q104" s="334"/>
      <c r="R104" s="286"/>
    </row>
    <row r="105" spans="1:18" x14ac:dyDescent="0.2">
      <c r="A105" s="336">
        <v>211</v>
      </c>
      <c r="B105" s="336" t="s">
        <v>1083</v>
      </c>
      <c r="C105" s="336" t="s">
        <v>1084</v>
      </c>
      <c r="D105" s="336">
        <v>21330</v>
      </c>
      <c r="E105" s="336" t="s">
        <v>61</v>
      </c>
      <c r="F105" s="286" t="b">
        <f t="shared" si="4"/>
        <v>0</v>
      </c>
      <c r="M105" s="334"/>
      <c r="N105" s="334"/>
      <c r="O105" s="334"/>
      <c r="P105" s="334"/>
      <c r="Q105" s="334"/>
      <c r="R105" s="286"/>
    </row>
    <row r="106" spans="1:18" x14ac:dyDescent="0.2">
      <c r="A106" s="336">
        <v>335</v>
      </c>
      <c r="B106" s="336" t="s">
        <v>906</v>
      </c>
      <c r="C106" s="336" t="s">
        <v>1226</v>
      </c>
      <c r="D106" s="336">
        <v>21610</v>
      </c>
      <c r="E106" s="336" t="s">
        <v>61</v>
      </c>
      <c r="F106" s="286" t="b">
        <f t="shared" si="4"/>
        <v>0</v>
      </c>
      <c r="M106" s="334"/>
      <c r="N106" s="334"/>
      <c r="O106" s="334"/>
      <c r="P106" s="334"/>
      <c r="Q106" s="334"/>
      <c r="R106" s="286"/>
    </row>
    <row r="107" spans="1:18" x14ac:dyDescent="0.2">
      <c r="A107" s="335">
        <v>112</v>
      </c>
      <c r="B107" s="335" t="s">
        <v>978</v>
      </c>
      <c r="C107" s="335" t="s">
        <v>984</v>
      </c>
      <c r="D107" s="335">
        <v>22250</v>
      </c>
      <c r="E107" s="335" t="s">
        <v>61</v>
      </c>
      <c r="F107" s="286" t="b">
        <f t="shared" si="4"/>
        <v>0</v>
      </c>
      <c r="M107" s="334"/>
      <c r="N107" s="334"/>
      <c r="O107" s="334"/>
      <c r="P107" s="334"/>
      <c r="Q107" s="334"/>
      <c r="R107" s="286"/>
    </row>
    <row r="108" spans="1:18" x14ac:dyDescent="0.2">
      <c r="A108" s="335">
        <v>215</v>
      </c>
      <c r="B108" s="335" t="s">
        <v>1085</v>
      </c>
      <c r="C108" s="335" t="s">
        <v>1086</v>
      </c>
      <c r="D108" s="335">
        <v>22450</v>
      </c>
      <c r="E108" s="335" t="s">
        <v>61</v>
      </c>
      <c r="F108" s="286" t="b">
        <f t="shared" si="4"/>
        <v>0</v>
      </c>
      <c r="M108" s="334"/>
      <c r="N108" s="334"/>
      <c r="O108" s="334"/>
      <c r="P108" s="334"/>
      <c r="Q108" s="334"/>
      <c r="R108" s="286"/>
    </row>
    <row r="109" spans="1:18" x14ac:dyDescent="0.2">
      <c r="A109" s="335">
        <v>315</v>
      </c>
      <c r="B109" s="335" t="s">
        <v>1193</v>
      </c>
      <c r="C109" s="335" t="s">
        <v>1194</v>
      </c>
      <c r="D109" s="335">
        <v>21095</v>
      </c>
      <c r="E109" s="335" t="s">
        <v>61</v>
      </c>
      <c r="F109" s="286" t="b">
        <f t="shared" si="4"/>
        <v>0</v>
      </c>
      <c r="M109" s="334"/>
      <c r="N109" s="334"/>
      <c r="O109" s="334"/>
      <c r="P109" s="334"/>
      <c r="Q109" s="334"/>
      <c r="R109" s="286"/>
    </row>
    <row r="110" spans="1:18" x14ac:dyDescent="0.2">
      <c r="A110" s="335">
        <v>131</v>
      </c>
      <c r="B110" s="335" t="s">
        <v>1001</v>
      </c>
      <c r="C110" s="335" t="s">
        <v>1006</v>
      </c>
      <c r="D110" s="335">
        <v>20390</v>
      </c>
      <c r="E110" s="335" t="s">
        <v>61</v>
      </c>
      <c r="F110" s="286" t="b">
        <f t="shared" si="4"/>
        <v>0</v>
      </c>
      <c r="M110" s="334"/>
      <c r="N110" s="334"/>
      <c r="O110" s="334"/>
      <c r="P110" s="334"/>
      <c r="Q110" s="334"/>
      <c r="R110" s="286"/>
    </row>
    <row r="111" spans="1:18" x14ac:dyDescent="0.2">
      <c r="A111" s="335">
        <v>407</v>
      </c>
      <c r="B111" s="335" t="s">
        <v>1330</v>
      </c>
      <c r="C111" s="335" t="s">
        <v>1332</v>
      </c>
      <c r="D111" s="335">
        <v>22905</v>
      </c>
      <c r="E111" s="335" t="s">
        <v>61</v>
      </c>
      <c r="F111" s="286" t="b">
        <f t="shared" si="4"/>
        <v>0</v>
      </c>
      <c r="M111" s="334"/>
      <c r="N111" s="334"/>
      <c r="O111" s="334"/>
      <c r="P111" s="334"/>
      <c r="Q111" s="334"/>
      <c r="R111" s="286"/>
    </row>
    <row r="112" spans="1:18" x14ac:dyDescent="0.2">
      <c r="A112" s="336">
        <v>407</v>
      </c>
      <c r="B112" s="336" t="s">
        <v>1330</v>
      </c>
      <c r="C112" s="336" t="s">
        <v>1333</v>
      </c>
      <c r="D112" s="336">
        <v>26600</v>
      </c>
      <c r="E112" s="336" t="s">
        <v>61</v>
      </c>
      <c r="F112" s="286" t="b">
        <f t="shared" si="4"/>
        <v>0</v>
      </c>
      <c r="M112" s="334"/>
      <c r="N112" s="334"/>
      <c r="O112" s="334"/>
      <c r="P112" s="334"/>
      <c r="Q112" s="334"/>
      <c r="R112" s="286"/>
    </row>
    <row r="113" spans="1:18" x14ac:dyDescent="0.2">
      <c r="A113" s="335">
        <v>335</v>
      </c>
      <c r="B113" s="335" t="s">
        <v>906</v>
      </c>
      <c r="C113" s="335" t="s">
        <v>1227</v>
      </c>
      <c r="D113" s="335">
        <v>21625</v>
      </c>
      <c r="E113" s="335" t="s">
        <v>61</v>
      </c>
      <c r="F113" s="286" t="b">
        <f t="shared" si="4"/>
        <v>0</v>
      </c>
      <c r="M113" s="334"/>
      <c r="N113" s="334"/>
      <c r="O113" s="334"/>
      <c r="P113" s="334"/>
      <c r="Q113" s="334"/>
      <c r="R113" s="286"/>
    </row>
    <row r="114" spans="1:18" x14ac:dyDescent="0.2">
      <c r="A114" s="336">
        <v>223</v>
      </c>
      <c r="B114" s="336" t="s">
        <v>1087</v>
      </c>
      <c r="C114" s="336" t="s">
        <v>1089</v>
      </c>
      <c r="D114" s="336">
        <v>22755</v>
      </c>
      <c r="E114" s="336" t="s">
        <v>61</v>
      </c>
      <c r="F114" s="286" t="b">
        <f t="shared" si="4"/>
        <v>0</v>
      </c>
      <c r="M114" s="334"/>
      <c r="N114" s="334"/>
      <c r="O114" s="334"/>
      <c r="P114" s="334"/>
      <c r="Q114" s="334"/>
      <c r="R114" s="286"/>
    </row>
    <row r="115" spans="1:18" x14ac:dyDescent="0.2">
      <c r="A115" s="336">
        <v>225</v>
      </c>
      <c r="B115" s="336" t="s">
        <v>1090</v>
      </c>
      <c r="C115" s="336" t="s">
        <v>1543</v>
      </c>
      <c r="D115" s="336">
        <v>20790</v>
      </c>
      <c r="E115" s="336" t="s">
        <v>61</v>
      </c>
      <c r="F115" s="286" t="b">
        <f t="shared" si="4"/>
        <v>0</v>
      </c>
      <c r="M115" s="334"/>
      <c r="N115" s="334"/>
      <c r="O115" s="334"/>
      <c r="P115" s="334"/>
      <c r="Q115" s="334"/>
      <c r="R115" s="286"/>
    </row>
    <row r="116" spans="1:18" x14ac:dyDescent="0.2">
      <c r="A116" s="335">
        <v>225</v>
      </c>
      <c r="B116" s="335" t="s">
        <v>1090</v>
      </c>
      <c r="C116" s="335" t="s">
        <v>1091</v>
      </c>
      <c r="D116" s="335">
        <v>20770</v>
      </c>
      <c r="E116" s="335" t="s">
        <v>61</v>
      </c>
      <c r="F116" s="286" t="b">
        <f t="shared" si="4"/>
        <v>0</v>
      </c>
      <c r="M116" s="334"/>
      <c r="N116" s="334"/>
      <c r="O116" s="334"/>
      <c r="P116" s="334"/>
      <c r="Q116" s="334"/>
      <c r="R116" s="286"/>
    </row>
    <row r="117" spans="1:18" x14ac:dyDescent="0.2">
      <c r="A117" s="336">
        <v>112</v>
      </c>
      <c r="B117" s="336" t="s">
        <v>978</v>
      </c>
      <c r="C117" s="336" t="s">
        <v>985</v>
      </c>
      <c r="D117" s="336">
        <v>22260</v>
      </c>
      <c r="E117" s="336" t="s">
        <v>61</v>
      </c>
      <c r="F117" s="286" t="b">
        <f t="shared" si="4"/>
        <v>0</v>
      </c>
      <c r="M117" s="334"/>
      <c r="N117" s="334"/>
      <c r="O117" s="334"/>
      <c r="P117" s="334"/>
      <c r="Q117" s="334"/>
      <c r="R117" s="286"/>
    </row>
    <row r="118" spans="1:18" x14ac:dyDescent="0.2">
      <c r="A118" s="336">
        <v>295</v>
      </c>
      <c r="B118" s="336" t="s">
        <v>1178</v>
      </c>
      <c r="C118" s="336" t="s">
        <v>1179</v>
      </c>
      <c r="D118" s="336">
        <v>21335</v>
      </c>
      <c r="E118" s="336" t="s">
        <v>61</v>
      </c>
      <c r="F118" s="286" t="b">
        <f t="shared" si="4"/>
        <v>0</v>
      </c>
      <c r="M118" s="334"/>
      <c r="N118" s="334"/>
      <c r="O118" s="334"/>
      <c r="P118" s="334"/>
      <c r="Q118" s="334"/>
      <c r="R118" s="286"/>
    </row>
    <row r="119" spans="1:18" x14ac:dyDescent="0.2">
      <c r="A119" s="335">
        <v>263</v>
      </c>
      <c r="B119" s="335" t="s">
        <v>1127</v>
      </c>
      <c r="C119" s="335" t="s">
        <v>1131</v>
      </c>
      <c r="D119" s="335">
        <v>20975</v>
      </c>
      <c r="E119" s="335" t="s">
        <v>61</v>
      </c>
      <c r="F119" s="286" t="b">
        <f t="shared" si="4"/>
        <v>0</v>
      </c>
      <c r="M119" s="334"/>
      <c r="N119" s="334"/>
      <c r="O119" s="334"/>
      <c r="P119" s="334"/>
      <c r="Q119" s="334"/>
      <c r="R119" s="286"/>
    </row>
    <row r="120" spans="1:18" x14ac:dyDescent="0.2">
      <c r="A120" s="336">
        <v>245</v>
      </c>
      <c r="B120" s="336" t="s">
        <v>1103</v>
      </c>
      <c r="C120" s="336" t="s">
        <v>1104</v>
      </c>
      <c r="D120" s="336">
        <v>20935</v>
      </c>
      <c r="E120" s="336" t="s">
        <v>61</v>
      </c>
      <c r="F120" s="286" t="b">
        <f t="shared" si="4"/>
        <v>0</v>
      </c>
      <c r="M120" s="334"/>
      <c r="N120" s="334"/>
      <c r="O120" s="334"/>
      <c r="P120" s="334"/>
      <c r="Q120" s="334"/>
      <c r="R120" s="286"/>
    </row>
    <row r="121" spans="1:18" x14ac:dyDescent="0.2">
      <c r="A121" s="335">
        <v>79</v>
      </c>
      <c r="B121" s="335" t="s">
        <v>956</v>
      </c>
      <c r="C121" s="335" t="s">
        <v>957</v>
      </c>
      <c r="D121" s="335">
        <v>20535</v>
      </c>
      <c r="E121" s="335" t="s">
        <v>61</v>
      </c>
      <c r="F121" s="286" t="b">
        <f t="shared" si="4"/>
        <v>0</v>
      </c>
      <c r="M121" s="334"/>
      <c r="N121" s="334"/>
      <c r="O121" s="334"/>
      <c r="P121" s="334"/>
      <c r="Q121" s="334"/>
      <c r="R121" s="286"/>
    </row>
    <row r="122" spans="1:18" x14ac:dyDescent="0.2">
      <c r="A122" s="336">
        <v>335</v>
      </c>
      <c r="B122" s="336" t="s">
        <v>906</v>
      </c>
      <c r="C122" s="336" t="s">
        <v>1610</v>
      </c>
      <c r="D122" s="336">
        <v>21640</v>
      </c>
      <c r="E122" s="336" t="s">
        <v>61</v>
      </c>
      <c r="F122" s="286" t="b">
        <f t="shared" si="4"/>
        <v>0</v>
      </c>
      <c r="M122" s="334"/>
      <c r="N122" s="334"/>
      <c r="O122" s="334"/>
      <c r="P122" s="334"/>
      <c r="Q122" s="334"/>
      <c r="R122" s="286"/>
    </row>
    <row r="123" spans="1:18" x14ac:dyDescent="0.2">
      <c r="A123" s="336">
        <v>175</v>
      </c>
      <c r="B123" s="336" t="s">
        <v>1047</v>
      </c>
      <c r="C123" s="336" t="s">
        <v>1050</v>
      </c>
      <c r="D123" s="336">
        <v>22055</v>
      </c>
      <c r="E123" s="336" t="s">
        <v>61</v>
      </c>
      <c r="F123" s="286" t="b">
        <f t="shared" si="4"/>
        <v>0</v>
      </c>
      <c r="M123" s="334"/>
      <c r="N123" s="334"/>
      <c r="O123" s="334"/>
      <c r="P123" s="334"/>
      <c r="Q123" s="334"/>
      <c r="R123" s="286"/>
    </row>
    <row r="124" spans="1:18" x14ac:dyDescent="0.2">
      <c r="A124" s="335">
        <v>357</v>
      </c>
      <c r="B124" s="335" t="s">
        <v>1265</v>
      </c>
      <c r="C124" s="335" t="s">
        <v>1268</v>
      </c>
      <c r="D124" s="335">
        <v>27895</v>
      </c>
      <c r="E124" s="335" t="s">
        <v>61</v>
      </c>
      <c r="F124" s="286" t="b">
        <f t="shared" si="4"/>
        <v>0</v>
      </c>
      <c r="M124" s="334"/>
      <c r="N124" s="334"/>
      <c r="O124" s="334"/>
      <c r="P124" s="334"/>
      <c r="Q124" s="334"/>
      <c r="R124" s="286"/>
    </row>
    <row r="125" spans="1:18" x14ac:dyDescent="0.2">
      <c r="A125" s="335">
        <v>342</v>
      </c>
      <c r="B125" s="335" t="s">
        <v>1235</v>
      </c>
      <c r="C125" s="335" t="s">
        <v>1238</v>
      </c>
      <c r="D125" s="335">
        <v>28990</v>
      </c>
      <c r="E125" s="335" t="s">
        <v>61</v>
      </c>
      <c r="F125" s="286" t="b">
        <f t="shared" si="4"/>
        <v>0</v>
      </c>
      <c r="M125" s="334"/>
      <c r="N125" s="334"/>
      <c r="O125" s="334"/>
      <c r="P125" s="334"/>
      <c r="Q125" s="334"/>
      <c r="R125" s="286"/>
    </row>
    <row r="126" spans="1:18" x14ac:dyDescent="0.2">
      <c r="A126" s="335">
        <v>335</v>
      </c>
      <c r="B126" s="335" t="s">
        <v>906</v>
      </c>
      <c r="C126" s="335" t="s">
        <v>1220</v>
      </c>
      <c r="D126" s="335">
        <v>21560</v>
      </c>
      <c r="E126" s="335" t="s">
        <v>61</v>
      </c>
      <c r="F126" s="286" t="b">
        <f t="shared" si="4"/>
        <v>0</v>
      </c>
    </row>
    <row r="127" spans="1:18" x14ac:dyDescent="0.2">
      <c r="A127" s="336">
        <v>267</v>
      </c>
      <c r="B127" s="336" t="s">
        <v>1132</v>
      </c>
      <c r="C127" s="336" t="s">
        <v>1136</v>
      </c>
      <c r="D127" s="336">
        <v>27900</v>
      </c>
      <c r="E127" s="336" t="s">
        <v>61</v>
      </c>
      <c r="F127" s="286" t="b">
        <f t="shared" si="4"/>
        <v>0</v>
      </c>
    </row>
    <row r="128" spans="1:18" x14ac:dyDescent="0.2">
      <c r="A128" s="336">
        <v>251</v>
      </c>
      <c r="B128" s="336" t="s">
        <v>1107</v>
      </c>
      <c r="C128" s="336" t="s">
        <v>1109</v>
      </c>
      <c r="D128" s="336">
        <v>20955</v>
      </c>
      <c r="E128" s="336" t="s">
        <v>61</v>
      </c>
      <c r="F128" s="286" t="b">
        <f t="shared" si="4"/>
        <v>0</v>
      </c>
    </row>
    <row r="129" spans="1:6" x14ac:dyDescent="0.2">
      <c r="A129" s="335">
        <v>255</v>
      </c>
      <c r="B129" s="335" t="s">
        <v>1111</v>
      </c>
      <c r="C129" s="335" t="s">
        <v>1113</v>
      </c>
      <c r="D129" s="335">
        <v>21680</v>
      </c>
      <c r="E129" s="335" t="s">
        <v>61</v>
      </c>
      <c r="F129" s="286" t="b">
        <f t="shared" si="4"/>
        <v>0</v>
      </c>
    </row>
    <row r="130" spans="1:6" x14ac:dyDescent="0.2">
      <c r="A130" s="336">
        <v>257</v>
      </c>
      <c r="B130" s="336" t="s">
        <v>1115</v>
      </c>
      <c r="C130" s="336" t="s">
        <v>1116</v>
      </c>
      <c r="D130" s="336">
        <v>22345</v>
      </c>
      <c r="E130" s="336" t="s">
        <v>61</v>
      </c>
      <c r="F130" s="286" t="b">
        <f t="shared" si="4"/>
        <v>0</v>
      </c>
    </row>
    <row r="131" spans="1:6" x14ac:dyDescent="0.2">
      <c r="A131" s="335">
        <v>259</v>
      </c>
      <c r="B131" s="335" t="s">
        <v>1117</v>
      </c>
      <c r="C131" s="335" t="s">
        <v>1119</v>
      </c>
      <c r="D131" s="335">
        <v>21815</v>
      </c>
      <c r="E131" s="335" t="s">
        <v>61</v>
      </c>
      <c r="F131" s="286" t="b">
        <f t="shared" si="4"/>
        <v>0</v>
      </c>
    </row>
    <row r="132" spans="1:6" x14ac:dyDescent="0.2">
      <c r="A132" s="336">
        <v>259</v>
      </c>
      <c r="B132" s="336" t="s">
        <v>1117</v>
      </c>
      <c r="C132" s="336" t="s">
        <v>1118</v>
      </c>
      <c r="D132" s="336">
        <v>27530</v>
      </c>
      <c r="E132" s="336" t="s">
        <v>61</v>
      </c>
      <c r="F132" s="286" t="b">
        <f t="shared" si="4"/>
        <v>0</v>
      </c>
    </row>
    <row r="133" spans="1:6" x14ac:dyDescent="0.2">
      <c r="A133" s="336">
        <v>261</v>
      </c>
      <c r="B133" s="336" t="s">
        <v>1123</v>
      </c>
      <c r="C133" s="336" t="s">
        <v>1124</v>
      </c>
      <c r="D133" s="336">
        <v>20540</v>
      </c>
      <c r="E133" s="336" t="s">
        <v>61</v>
      </c>
      <c r="F133" s="286" t="b">
        <f t="shared" ref="F133:F196" si="7">C133=C132</f>
        <v>0</v>
      </c>
    </row>
    <row r="134" spans="1:6" x14ac:dyDescent="0.2">
      <c r="A134" s="336">
        <v>141</v>
      </c>
      <c r="B134" s="336" t="s">
        <v>1009</v>
      </c>
      <c r="C134" s="336" t="s">
        <v>1012</v>
      </c>
      <c r="D134" s="336">
        <v>20445</v>
      </c>
      <c r="E134" s="336" t="s">
        <v>61</v>
      </c>
      <c r="F134" s="286" t="b">
        <f t="shared" si="7"/>
        <v>0</v>
      </c>
    </row>
    <row r="135" spans="1:6" x14ac:dyDescent="0.2">
      <c r="A135" s="336">
        <v>491</v>
      </c>
      <c r="B135" s="336" t="s">
        <v>1418</v>
      </c>
      <c r="C135" s="336" t="s">
        <v>1421</v>
      </c>
      <c r="D135" s="336">
        <v>29202</v>
      </c>
      <c r="E135" s="336" t="s">
        <v>61</v>
      </c>
      <c r="F135" s="286" t="b">
        <f t="shared" si="7"/>
        <v>0</v>
      </c>
    </row>
    <row r="136" spans="1:6" x14ac:dyDescent="0.2">
      <c r="A136" s="336">
        <v>343</v>
      </c>
      <c r="B136" s="336" t="s">
        <v>1239</v>
      </c>
      <c r="C136" s="336" t="s">
        <v>1243</v>
      </c>
      <c r="D136" s="336">
        <v>26405</v>
      </c>
      <c r="E136" s="336" t="s">
        <v>61</v>
      </c>
      <c r="F136" s="286" t="b">
        <f t="shared" si="7"/>
        <v>0</v>
      </c>
    </row>
    <row r="137" spans="1:6" x14ac:dyDescent="0.2">
      <c r="A137" s="336">
        <v>269</v>
      </c>
      <c r="B137" s="336" t="s">
        <v>1138</v>
      </c>
      <c r="C137" s="336" t="s">
        <v>1139</v>
      </c>
      <c r="D137" s="336">
        <v>29200</v>
      </c>
      <c r="E137" s="336" t="s">
        <v>61</v>
      </c>
      <c r="F137" s="286" t="b">
        <f t="shared" si="7"/>
        <v>0</v>
      </c>
    </row>
    <row r="138" spans="1:6" x14ac:dyDescent="0.2">
      <c r="A138" s="335">
        <v>269</v>
      </c>
      <c r="B138" s="335" t="s">
        <v>1138</v>
      </c>
      <c r="C138" s="335" t="s">
        <v>1140</v>
      </c>
      <c r="D138" s="335">
        <v>29201</v>
      </c>
      <c r="E138" s="335" t="s">
        <v>61</v>
      </c>
      <c r="F138" s="286" t="b">
        <f t="shared" si="7"/>
        <v>0</v>
      </c>
    </row>
    <row r="139" spans="1:6" x14ac:dyDescent="0.2">
      <c r="A139" s="335">
        <v>271</v>
      </c>
      <c r="B139" s="335" t="s">
        <v>1143</v>
      </c>
      <c r="C139" s="335" t="s">
        <v>1144</v>
      </c>
      <c r="D139" s="335">
        <v>20355</v>
      </c>
      <c r="E139" s="335" t="s">
        <v>61</v>
      </c>
      <c r="F139" s="286" t="b">
        <f t="shared" si="7"/>
        <v>0</v>
      </c>
    </row>
    <row r="140" spans="1:6" x14ac:dyDescent="0.2">
      <c r="A140" s="336">
        <v>357</v>
      </c>
      <c r="B140" s="336" t="s">
        <v>1265</v>
      </c>
      <c r="C140" s="336" t="s">
        <v>1269</v>
      </c>
      <c r="D140" s="336">
        <v>26580</v>
      </c>
      <c r="E140" s="336" t="s">
        <v>61</v>
      </c>
      <c r="F140" s="286" t="b">
        <f t="shared" si="7"/>
        <v>0</v>
      </c>
    </row>
    <row r="141" spans="1:6" x14ac:dyDescent="0.2">
      <c r="A141" s="336">
        <v>274</v>
      </c>
      <c r="B141" s="336" t="s">
        <v>1145</v>
      </c>
      <c r="C141" s="336" t="s">
        <v>1148</v>
      </c>
      <c r="D141" s="336">
        <v>22275</v>
      </c>
      <c r="E141" s="336" t="s">
        <v>61</v>
      </c>
      <c r="F141" s="286" t="b">
        <f t="shared" si="7"/>
        <v>0</v>
      </c>
    </row>
    <row r="142" spans="1:6" x14ac:dyDescent="0.2">
      <c r="A142" s="335">
        <v>503</v>
      </c>
      <c r="B142" s="335" t="s">
        <v>1431</v>
      </c>
      <c r="C142" s="335" t="s">
        <v>1432</v>
      </c>
      <c r="D142" s="335">
        <v>20980</v>
      </c>
      <c r="E142" s="335" t="s">
        <v>61</v>
      </c>
      <c r="F142" s="286" t="b">
        <f t="shared" si="7"/>
        <v>0</v>
      </c>
    </row>
    <row r="143" spans="1:6" x14ac:dyDescent="0.2">
      <c r="A143" s="335">
        <v>276</v>
      </c>
      <c r="B143" s="335" t="s">
        <v>1152</v>
      </c>
      <c r="C143" s="335" t="s">
        <v>1564</v>
      </c>
      <c r="D143" s="335">
        <v>26565</v>
      </c>
      <c r="E143" s="335" t="s">
        <v>1561</v>
      </c>
      <c r="F143" s="286" t="b">
        <f t="shared" si="7"/>
        <v>0</v>
      </c>
    </row>
    <row r="144" spans="1:6" x14ac:dyDescent="0.2">
      <c r="A144" s="336">
        <v>351</v>
      </c>
      <c r="B144" s="336" t="s">
        <v>1246</v>
      </c>
      <c r="C144" s="336" t="s">
        <v>1249</v>
      </c>
      <c r="D144" s="336">
        <v>21020</v>
      </c>
      <c r="E144" s="336" t="s">
        <v>61</v>
      </c>
      <c r="F144" s="286" t="b">
        <f t="shared" si="7"/>
        <v>0</v>
      </c>
    </row>
    <row r="145" spans="1:6" x14ac:dyDescent="0.2">
      <c r="A145" s="335">
        <v>351</v>
      </c>
      <c r="B145" s="335" t="s">
        <v>1246</v>
      </c>
      <c r="C145" s="335" t="s">
        <v>1250</v>
      </c>
      <c r="D145" s="335">
        <v>21025</v>
      </c>
      <c r="E145" s="335" t="s">
        <v>61</v>
      </c>
      <c r="F145" s="286" t="b">
        <f t="shared" si="7"/>
        <v>0</v>
      </c>
    </row>
    <row r="146" spans="1:6" x14ac:dyDescent="0.2">
      <c r="A146" s="335">
        <v>247</v>
      </c>
      <c r="B146" s="335" t="s">
        <v>1105</v>
      </c>
      <c r="C146" s="335" t="s">
        <v>1106</v>
      </c>
      <c r="D146" s="335">
        <v>20670</v>
      </c>
      <c r="E146" s="335" t="s">
        <v>61</v>
      </c>
      <c r="F146" s="286" t="b">
        <f t="shared" si="7"/>
        <v>0</v>
      </c>
    </row>
    <row r="147" spans="1:6" x14ac:dyDescent="0.2">
      <c r="A147" s="336">
        <v>335</v>
      </c>
      <c r="B147" s="336" t="s">
        <v>906</v>
      </c>
      <c r="C147" s="336" t="s">
        <v>1223</v>
      </c>
      <c r="D147" s="336">
        <v>21590</v>
      </c>
      <c r="E147" s="336" t="s">
        <v>61</v>
      </c>
      <c r="F147" s="286" t="b">
        <f t="shared" si="7"/>
        <v>0</v>
      </c>
    </row>
    <row r="148" spans="1:6" x14ac:dyDescent="0.2">
      <c r="A148" s="336">
        <v>341</v>
      </c>
      <c r="B148" s="336" t="s">
        <v>1233</v>
      </c>
      <c r="C148" s="336" t="s">
        <v>1234</v>
      </c>
      <c r="D148" s="336">
        <v>23000</v>
      </c>
      <c r="E148" s="336" t="s">
        <v>61</v>
      </c>
      <c r="F148" s="286" t="b">
        <f t="shared" si="7"/>
        <v>0</v>
      </c>
    </row>
    <row r="149" spans="1:6" x14ac:dyDescent="0.2">
      <c r="A149" s="335">
        <v>113</v>
      </c>
      <c r="B149" s="335" t="s">
        <v>990</v>
      </c>
      <c r="C149" s="335" t="s">
        <v>992</v>
      </c>
      <c r="D149" s="335">
        <v>20335</v>
      </c>
      <c r="E149" s="335" t="s">
        <v>61</v>
      </c>
      <c r="F149" s="286" t="b">
        <f t="shared" si="7"/>
        <v>0</v>
      </c>
    </row>
    <row r="150" spans="1:6" x14ac:dyDescent="0.2">
      <c r="A150" s="336">
        <v>279</v>
      </c>
      <c r="B150" s="336" t="s">
        <v>1159</v>
      </c>
      <c r="C150" s="336" t="s">
        <v>1565</v>
      </c>
      <c r="D150" s="336">
        <v>29180</v>
      </c>
      <c r="E150" s="336" t="s">
        <v>1561</v>
      </c>
      <c r="F150" s="286" t="b">
        <f t="shared" si="7"/>
        <v>0</v>
      </c>
    </row>
    <row r="151" spans="1:6" x14ac:dyDescent="0.2">
      <c r="A151" s="336">
        <v>35</v>
      </c>
      <c r="B151" s="336" t="s">
        <v>931</v>
      </c>
      <c r="C151" s="336" t="s">
        <v>932</v>
      </c>
      <c r="D151" s="336">
        <v>20325</v>
      </c>
      <c r="E151" s="336" t="s">
        <v>61</v>
      </c>
      <c r="F151" s="286" t="b">
        <f t="shared" si="7"/>
        <v>0</v>
      </c>
    </row>
    <row r="152" spans="1:6" x14ac:dyDescent="0.2">
      <c r="A152" s="336">
        <v>276</v>
      </c>
      <c r="B152" s="336" t="s">
        <v>1152</v>
      </c>
      <c r="C152" s="336" t="s">
        <v>1156</v>
      </c>
      <c r="D152" s="336">
        <v>21980</v>
      </c>
      <c r="E152" s="336" t="s">
        <v>61</v>
      </c>
      <c r="F152" s="286" t="b">
        <f t="shared" si="7"/>
        <v>0</v>
      </c>
    </row>
    <row r="153" spans="1:6" x14ac:dyDescent="0.2">
      <c r="A153" s="335">
        <v>276</v>
      </c>
      <c r="B153" s="335" t="s">
        <v>1152</v>
      </c>
      <c r="C153" s="335" t="s">
        <v>1157</v>
      </c>
      <c r="D153" s="335">
        <v>26530</v>
      </c>
      <c r="E153" s="335" t="s">
        <v>61</v>
      </c>
      <c r="F153" s="286" t="b">
        <f t="shared" si="7"/>
        <v>0</v>
      </c>
    </row>
    <row r="154" spans="1:6" x14ac:dyDescent="0.2">
      <c r="A154" s="336">
        <v>525</v>
      </c>
      <c r="B154" s="336" t="s">
        <v>1442</v>
      </c>
      <c r="C154" s="336" t="s">
        <v>1443</v>
      </c>
      <c r="D154" s="336">
        <v>20365</v>
      </c>
      <c r="E154" s="336" t="s">
        <v>61</v>
      </c>
      <c r="F154" s="286" t="b">
        <f t="shared" si="7"/>
        <v>0</v>
      </c>
    </row>
    <row r="155" spans="1:6" x14ac:dyDescent="0.2">
      <c r="A155" s="336">
        <v>281</v>
      </c>
      <c r="B155" s="336" t="s">
        <v>1166</v>
      </c>
      <c r="C155" s="336" t="s">
        <v>1167</v>
      </c>
      <c r="D155" s="336">
        <v>20605</v>
      </c>
      <c r="E155" s="336" t="s">
        <v>61</v>
      </c>
      <c r="F155" s="286" t="b">
        <f t="shared" si="7"/>
        <v>0</v>
      </c>
    </row>
    <row r="156" spans="1:6" x14ac:dyDescent="0.2">
      <c r="A156" s="336">
        <v>288</v>
      </c>
      <c r="B156" s="336" t="s">
        <v>1174</v>
      </c>
      <c r="C156" s="336" t="s">
        <v>1175</v>
      </c>
      <c r="D156" s="336">
        <v>21405</v>
      </c>
      <c r="E156" s="336" t="s">
        <v>61</v>
      </c>
      <c r="F156" s="286" t="b">
        <f t="shared" si="7"/>
        <v>0</v>
      </c>
    </row>
    <row r="157" spans="1:6" x14ac:dyDescent="0.2">
      <c r="A157" s="335">
        <v>453</v>
      </c>
      <c r="B157" s="335" t="s">
        <v>1375</v>
      </c>
      <c r="C157" s="335" t="s">
        <v>1376</v>
      </c>
      <c r="D157" s="335">
        <v>21385</v>
      </c>
      <c r="E157" s="335" t="s">
        <v>61</v>
      </c>
      <c r="F157" s="286" t="b">
        <f t="shared" si="7"/>
        <v>0</v>
      </c>
    </row>
    <row r="158" spans="1:6" x14ac:dyDescent="0.2">
      <c r="A158" s="335">
        <v>568</v>
      </c>
      <c r="B158" s="335" t="s">
        <v>1471</v>
      </c>
      <c r="C158" s="335" t="s">
        <v>1473</v>
      </c>
      <c r="D158" s="335">
        <v>21475</v>
      </c>
      <c r="E158" s="335" t="s">
        <v>61</v>
      </c>
      <c r="F158" s="286" t="b">
        <f t="shared" si="7"/>
        <v>0</v>
      </c>
    </row>
    <row r="159" spans="1:6" x14ac:dyDescent="0.2">
      <c r="A159" s="335">
        <v>291</v>
      </c>
      <c r="B159" s="335" t="s">
        <v>1176</v>
      </c>
      <c r="C159" s="335" t="s">
        <v>1177</v>
      </c>
      <c r="D159" s="335">
        <v>21410</v>
      </c>
      <c r="E159" s="335" t="s">
        <v>61</v>
      </c>
      <c r="F159" s="286" t="b">
        <f t="shared" si="7"/>
        <v>0</v>
      </c>
    </row>
    <row r="160" spans="1:6" x14ac:dyDescent="0.2">
      <c r="A160" s="335">
        <v>371</v>
      </c>
      <c r="B160" s="335" t="s">
        <v>1286</v>
      </c>
      <c r="C160" s="335" t="s">
        <v>1298</v>
      </c>
      <c r="D160" s="335">
        <v>21915</v>
      </c>
      <c r="E160" s="335" t="s">
        <v>61</v>
      </c>
      <c r="F160" s="286" t="b">
        <f t="shared" si="7"/>
        <v>0</v>
      </c>
    </row>
    <row r="161" spans="1:6" x14ac:dyDescent="0.2">
      <c r="A161" s="336">
        <v>299</v>
      </c>
      <c r="B161" s="336" t="s">
        <v>1183</v>
      </c>
      <c r="C161" s="336" t="s">
        <v>1184</v>
      </c>
      <c r="D161" s="336">
        <v>29169</v>
      </c>
      <c r="E161" s="336" t="s">
        <v>61</v>
      </c>
      <c r="F161" s="286" t="b">
        <f t="shared" si="7"/>
        <v>0</v>
      </c>
    </row>
    <row r="162" spans="1:6" x14ac:dyDescent="0.2">
      <c r="A162" s="336">
        <v>227</v>
      </c>
      <c r="B162" s="336" t="s">
        <v>1093</v>
      </c>
      <c r="C162" s="336" t="s">
        <v>1094</v>
      </c>
      <c r="D162" s="336">
        <v>20800</v>
      </c>
      <c r="E162" s="336" t="s">
        <v>61</v>
      </c>
      <c r="F162" s="286" t="b">
        <f t="shared" si="7"/>
        <v>0</v>
      </c>
    </row>
    <row r="163" spans="1:6" x14ac:dyDescent="0.2">
      <c r="A163" s="336">
        <v>173</v>
      </c>
      <c r="B163" s="336" t="s">
        <v>1032</v>
      </c>
      <c r="C163" s="336" t="s">
        <v>1034</v>
      </c>
      <c r="D163" s="336">
        <v>20595</v>
      </c>
      <c r="E163" s="336" t="s">
        <v>61</v>
      </c>
      <c r="F163" s="286" t="b">
        <f t="shared" si="7"/>
        <v>0</v>
      </c>
    </row>
    <row r="164" spans="1:6" x14ac:dyDescent="0.2">
      <c r="A164" s="335">
        <v>305</v>
      </c>
      <c r="B164" s="335" t="s">
        <v>1185</v>
      </c>
      <c r="C164" s="335" t="s">
        <v>1188</v>
      </c>
      <c r="D164" s="335">
        <v>20880</v>
      </c>
      <c r="E164" s="335" t="s">
        <v>61</v>
      </c>
      <c r="F164" s="286" t="b">
        <f t="shared" si="7"/>
        <v>0</v>
      </c>
    </row>
    <row r="165" spans="1:6" x14ac:dyDescent="0.2">
      <c r="A165" s="336">
        <v>306</v>
      </c>
      <c r="B165" s="336" t="s">
        <v>1189</v>
      </c>
      <c r="C165" s="336" t="s">
        <v>1190</v>
      </c>
      <c r="D165" s="336">
        <v>21420</v>
      </c>
      <c r="E165" s="336" t="s">
        <v>61</v>
      </c>
      <c r="F165" s="286" t="b">
        <f t="shared" si="7"/>
        <v>0</v>
      </c>
    </row>
    <row r="166" spans="1:6" x14ac:dyDescent="0.2">
      <c r="A166" s="336">
        <v>449</v>
      </c>
      <c r="B166" s="336" t="s">
        <v>1366</v>
      </c>
      <c r="C166" s="336" t="s">
        <v>1368</v>
      </c>
      <c r="D166" s="336">
        <v>22515</v>
      </c>
      <c r="E166" s="336" t="s">
        <v>61</v>
      </c>
      <c r="F166" s="286" t="b">
        <f t="shared" si="7"/>
        <v>0</v>
      </c>
    </row>
    <row r="167" spans="1:6" x14ac:dyDescent="0.2">
      <c r="A167" s="335">
        <v>352</v>
      </c>
      <c r="B167" s="335" t="s">
        <v>1253</v>
      </c>
      <c r="C167" s="335" t="s">
        <v>1256</v>
      </c>
      <c r="D167" s="335">
        <v>22180</v>
      </c>
      <c r="E167" s="335" t="s">
        <v>61</v>
      </c>
      <c r="F167" s="286" t="b">
        <f t="shared" si="7"/>
        <v>0</v>
      </c>
    </row>
    <row r="168" spans="1:6" x14ac:dyDescent="0.2">
      <c r="A168" s="335">
        <v>327</v>
      </c>
      <c r="B168" s="335" t="s">
        <v>1208</v>
      </c>
      <c r="C168" s="335" t="s">
        <v>1209</v>
      </c>
      <c r="D168" s="335">
        <v>20835</v>
      </c>
      <c r="E168" s="335" t="s">
        <v>61</v>
      </c>
      <c r="F168" s="286" t="b">
        <f t="shared" si="7"/>
        <v>0</v>
      </c>
    </row>
    <row r="169" spans="1:6" x14ac:dyDescent="0.2">
      <c r="A169" s="336">
        <v>572</v>
      </c>
      <c r="B169" s="336" t="s">
        <v>1475</v>
      </c>
      <c r="C169" s="336" t="s">
        <v>1476</v>
      </c>
      <c r="D169" s="336">
        <v>23035</v>
      </c>
      <c r="E169" s="336" t="s">
        <v>61</v>
      </c>
      <c r="F169" s="286" t="b">
        <f t="shared" si="7"/>
        <v>0</v>
      </c>
    </row>
    <row r="170" spans="1:6" x14ac:dyDescent="0.2">
      <c r="A170" s="336">
        <v>333</v>
      </c>
      <c r="B170" s="336" t="s">
        <v>1210</v>
      </c>
      <c r="C170" s="336" t="s">
        <v>1211</v>
      </c>
      <c r="D170" s="336">
        <v>20360</v>
      </c>
      <c r="E170" s="336" t="s">
        <v>61</v>
      </c>
      <c r="F170" s="286" t="b">
        <f t="shared" si="7"/>
        <v>0</v>
      </c>
    </row>
    <row r="171" spans="1:6" x14ac:dyDescent="0.2">
      <c r="A171" s="336">
        <v>371</v>
      </c>
      <c r="B171" s="336" t="s">
        <v>1286</v>
      </c>
      <c r="C171" s="336" t="s">
        <v>1301</v>
      </c>
      <c r="D171" s="336">
        <v>21935</v>
      </c>
      <c r="E171" s="336" t="s">
        <v>61</v>
      </c>
      <c r="F171" s="286" t="b">
        <f t="shared" si="7"/>
        <v>0</v>
      </c>
    </row>
    <row r="172" spans="1:6" x14ac:dyDescent="0.2">
      <c r="A172" s="335">
        <v>173</v>
      </c>
      <c r="B172" s="335" t="s">
        <v>1032</v>
      </c>
      <c r="C172" s="335" t="s">
        <v>1033</v>
      </c>
      <c r="D172" s="335">
        <v>20575</v>
      </c>
      <c r="E172" s="335" t="s">
        <v>61</v>
      </c>
      <c r="F172" s="286" t="b">
        <f t="shared" si="7"/>
        <v>0</v>
      </c>
    </row>
    <row r="173" spans="1:6" x14ac:dyDescent="0.2">
      <c r="A173" s="335">
        <v>101</v>
      </c>
      <c r="B173" s="335" t="s">
        <v>964</v>
      </c>
      <c r="C173" s="335" t="s">
        <v>1642</v>
      </c>
      <c r="D173" s="335">
        <v>20160</v>
      </c>
      <c r="E173" s="335" t="s">
        <v>61</v>
      </c>
      <c r="F173" s="286" t="b">
        <f t="shared" si="7"/>
        <v>0</v>
      </c>
    </row>
    <row r="174" spans="1:6" x14ac:dyDescent="0.2">
      <c r="A174" s="336">
        <v>199</v>
      </c>
      <c r="B174" s="336" t="s">
        <v>1065</v>
      </c>
      <c r="C174" s="336" t="s">
        <v>1641</v>
      </c>
      <c r="D174" s="336">
        <v>20690</v>
      </c>
      <c r="E174" s="336" t="s">
        <v>61</v>
      </c>
      <c r="F174" s="286" t="b">
        <f t="shared" si="7"/>
        <v>0</v>
      </c>
    </row>
    <row r="175" spans="1:6" x14ac:dyDescent="0.2">
      <c r="A175" s="336">
        <v>263</v>
      </c>
      <c r="B175" s="336" t="s">
        <v>1127</v>
      </c>
      <c r="C175" s="336" t="s">
        <v>1129</v>
      </c>
      <c r="D175" s="336">
        <v>20965</v>
      </c>
      <c r="E175" s="336" t="s">
        <v>61</v>
      </c>
      <c r="F175" s="286" t="b">
        <f t="shared" si="7"/>
        <v>0</v>
      </c>
    </row>
    <row r="176" spans="1:6" x14ac:dyDescent="0.2">
      <c r="A176" s="336">
        <v>461</v>
      </c>
      <c r="B176" s="336" t="s">
        <v>1379</v>
      </c>
      <c r="C176" s="336" t="s">
        <v>1390</v>
      </c>
      <c r="D176" s="336">
        <v>29080</v>
      </c>
      <c r="E176" s="336" t="s">
        <v>61</v>
      </c>
      <c r="F176" s="286" t="b">
        <f t="shared" si="7"/>
        <v>0</v>
      </c>
    </row>
    <row r="177" spans="1:6" x14ac:dyDescent="0.2">
      <c r="A177" s="335">
        <v>491</v>
      </c>
      <c r="B177" s="335" t="s">
        <v>1418</v>
      </c>
      <c r="C177" s="335" t="s">
        <v>1422</v>
      </c>
      <c r="D177" s="335">
        <v>29203</v>
      </c>
      <c r="E177" s="335" t="s">
        <v>61</v>
      </c>
      <c r="F177" s="286" t="b">
        <f t="shared" si="7"/>
        <v>0</v>
      </c>
    </row>
    <row r="178" spans="1:6" x14ac:dyDescent="0.2">
      <c r="A178" s="335">
        <v>339</v>
      </c>
      <c r="B178" s="335" t="s">
        <v>1231</v>
      </c>
      <c r="C178" s="335" t="s">
        <v>1232</v>
      </c>
      <c r="D178" s="335">
        <v>21210</v>
      </c>
      <c r="E178" s="335" t="s">
        <v>61</v>
      </c>
      <c r="F178" s="286" t="b">
        <f t="shared" si="7"/>
        <v>0</v>
      </c>
    </row>
    <row r="179" spans="1:6" x14ac:dyDescent="0.2">
      <c r="A179" s="336">
        <v>473</v>
      </c>
      <c r="B179" s="336" t="s">
        <v>1398</v>
      </c>
      <c r="C179" s="336" t="s">
        <v>1402</v>
      </c>
      <c r="D179" s="336">
        <v>22875</v>
      </c>
      <c r="E179" s="336" t="s">
        <v>61</v>
      </c>
      <c r="F179" s="286" t="b">
        <f t="shared" si="7"/>
        <v>0</v>
      </c>
    </row>
    <row r="180" spans="1:6" x14ac:dyDescent="0.2">
      <c r="A180" s="335">
        <v>449</v>
      </c>
      <c r="B180" s="335" t="s">
        <v>1366</v>
      </c>
      <c r="C180" s="335" t="s">
        <v>1370</v>
      </c>
      <c r="D180" s="335">
        <v>22545</v>
      </c>
      <c r="E180" s="335" t="s">
        <v>61</v>
      </c>
      <c r="F180" s="286" t="b">
        <f t="shared" si="7"/>
        <v>0</v>
      </c>
    </row>
    <row r="181" spans="1:6" x14ac:dyDescent="0.2">
      <c r="A181" s="335">
        <v>345</v>
      </c>
      <c r="B181" s="335" t="s">
        <v>1244</v>
      </c>
      <c r="C181" s="335" t="s">
        <v>1245</v>
      </c>
      <c r="D181" s="335">
        <v>23040</v>
      </c>
      <c r="E181" s="335" t="s">
        <v>61</v>
      </c>
      <c r="F181" s="286" t="b">
        <f t="shared" si="7"/>
        <v>0</v>
      </c>
    </row>
    <row r="182" spans="1:6" x14ac:dyDescent="0.2">
      <c r="A182" s="335">
        <v>423</v>
      </c>
      <c r="B182" s="335" t="s">
        <v>1338</v>
      </c>
      <c r="C182" s="335" t="s">
        <v>1342</v>
      </c>
      <c r="D182" s="335">
        <v>22805</v>
      </c>
      <c r="E182" s="335" t="s">
        <v>61</v>
      </c>
      <c r="F182" s="286" t="b">
        <f t="shared" si="7"/>
        <v>0</v>
      </c>
    </row>
    <row r="183" spans="1:6" x14ac:dyDescent="0.2">
      <c r="A183" s="335">
        <v>319</v>
      </c>
      <c r="B183" s="335" t="s">
        <v>1201</v>
      </c>
      <c r="C183" s="335" t="s">
        <v>1206</v>
      </c>
      <c r="D183" s="335">
        <v>20485</v>
      </c>
      <c r="E183" s="335" t="s">
        <v>61</v>
      </c>
      <c r="F183" s="286" t="b">
        <f t="shared" si="7"/>
        <v>0</v>
      </c>
    </row>
    <row r="184" spans="1:6" x14ac:dyDescent="0.2">
      <c r="A184" s="336">
        <v>381</v>
      </c>
      <c r="B184" s="336" t="s">
        <v>1308</v>
      </c>
      <c r="C184" s="336" t="s">
        <v>1309</v>
      </c>
      <c r="D184" s="336">
        <v>22455</v>
      </c>
      <c r="E184" s="336" t="s">
        <v>61</v>
      </c>
      <c r="F184" s="286" t="b">
        <f t="shared" si="7"/>
        <v>0</v>
      </c>
    </row>
    <row r="185" spans="1:6" x14ac:dyDescent="0.2">
      <c r="A185" s="335">
        <v>461</v>
      </c>
      <c r="B185" s="335" t="s">
        <v>1379</v>
      </c>
      <c r="C185" s="335" t="s">
        <v>1382</v>
      </c>
      <c r="D185" s="335">
        <v>22665</v>
      </c>
      <c r="E185" s="335" t="s">
        <v>61</v>
      </c>
      <c r="F185" s="286" t="b">
        <f t="shared" si="7"/>
        <v>0</v>
      </c>
    </row>
    <row r="186" spans="1:6" x14ac:dyDescent="0.2">
      <c r="A186" s="335">
        <v>335</v>
      </c>
      <c r="B186" s="335" t="s">
        <v>906</v>
      </c>
      <c r="C186" s="335" t="s">
        <v>1221</v>
      </c>
      <c r="D186" s="335">
        <v>21565</v>
      </c>
      <c r="E186" s="335" t="s">
        <v>61</v>
      </c>
      <c r="F186" s="286" t="b">
        <f t="shared" si="7"/>
        <v>0</v>
      </c>
    </row>
    <row r="187" spans="1:6" x14ac:dyDescent="0.2">
      <c r="A187" s="336">
        <v>41</v>
      </c>
      <c r="B187" s="336" t="s">
        <v>935</v>
      </c>
      <c r="C187" s="336" t="s">
        <v>937</v>
      </c>
      <c r="D187" s="336">
        <v>21005</v>
      </c>
      <c r="E187" s="336" t="s">
        <v>61</v>
      </c>
      <c r="F187" s="286" t="b">
        <f t="shared" si="7"/>
        <v>0</v>
      </c>
    </row>
    <row r="188" spans="1:6" x14ac:dyDescent="0.2">
      <c r="A188" s="335">
        <v>41</v>
      </c>
      <c r="B188" s="335" t="s">
        <v>935</v>
      </c>
      <c r="C188" s="335" t="s">
        <v>1643</v>
      </c>
      <c r="D188" s="335">
        <v>20990</v>
      </c>
      <c r="E188" s="335" t="s">
        <v>61</v>
      </c>
      <c r="F188" s="286" t="b">
        <f t="shared" si="7"/>
        <v>0</v>
      </c>
    </row>
    <row r="189" spans="1:6" x14ac:dyDescent="0.2">
      <c r="A189" s="335">
        <v>476</v>
      </c>
      <c r="B189" s="335" t="s">
        <v>1406</v>
      </c>
      <c r="C189" s="335" t="s">
        <v>1644</v>
      </c>
      <c r="D189" s="335">
        <v>20635</v>
      </c>
      <c r="E189" s="335" t="s">
        <v>61</v>
      </c>
      <c r="F189" s="286" t="b">
        <f t="shared" si="7"/>
        <v>0</v>
      </c>
    </row>
    <row r="190" spans="1:6" x14ac:dyDescent="0.2">
      <c r="A190" s="335">
        <v>744</v>
      </c>
      <c r="B190" s="335" t="s">
        <v>1611</v>
      </c>
      <c r="C190" s="335" t="s">
        <v>1611</v>
      </c>
      <c r="D190" s="335">
        <v>29167</v>
      </c>
      <c r="E190" s="335" t="s">
        <v>61</v>
      </c>
      <c r="F190" s="286" t="b">
        <f t="shared" si="7"/>
        <v>0</v>
      </c>
    </row>
    <row r="191" spans="1:6" x14ac:dyDescent="0.2">
      <c r="A191" s="335">
        <v>353</v>
      </c>
      <c r="B191" s="335" t="s">
        <v>1261</v>
      </c>
      <c r="C191" s="335" t="s">
        <v>1262</v>
      </c>
      <c r="D191" s="335">
        <v>29178</v>
      </c>
      <c r="E191" s="335" t="s">
        <v>61</v>
      </c>
      <c r="F191" s="286" t="b">
        <f t="shared" si="7"/>
        <v>0</v>
      </c>
    </row>
    <row r="192" spans="1:6" x14ac:dyDescent="0.2">
      <c r="A192" s="336">
        <v>355</v>
      </c>
      <c r="B192" s="336" t="s">
        <v>1263</v>
      </c>
      <c r="C192" s="336" t="s">
        <v>1264</v>
      </c>
      <c r="D192" s="336">
        <v>20760</v>
      </c>
      <c r="E192" s="336" t="s">
        <v>61</v>
      </c>
      <c r="F192" s="286" t="b">
        <f t="shared" si="7"/>
        <v>0</v>
      </c>
    </row>
    <row r="193" spans="1:6" x14ac:dyDescent="0.2">
      <c r="A193" s="336">
        <v>317</v>
      </c>
      <c r="B193" s="336" t="s">
        <v>1197</v>
      </c>
      <c r="C193" s="336" t="s">
        <v>1200</v>
      </c>
      <c r="D193" s="336">
        <v>21450</v>
      </c>
      <c r="E193" s="336" t="s">
        <v>61</v>
      </c>
      <c r="F193" s="286" t="b">
        <f t="shared" si="7"/>
        <v>0</v>
      </c>
    </row>
    <row r="194" spans="1:6" x14ac:dyDescent="0.2">
      <c r="A194" s="335">
        <v>111</v>
      </c>
      <c r="B194" s="335" t="s">
        <v>970</v>
      </c>
      <c r="C194" s="335" t="s">
        <v>973</v>
      </c>
      <c r="D194" s="335">
        <v>20250</v>
      </c>
      <c r="E194" s="335" t="s">
        <v>61</v>
      </c>
      <c r="F194" s="286" t="b">
        <f t="shared" si="7"/>
        <v>0</v>
      </c>
    </row>
    <row r="195" spans="1:6" x14ac:dyDescent="0.2">
      <c r="A195" s="336">
        <v>729</v>
      </c>
      <c r="B195" s="336" t="s">
        <v>1519</v>
      </c>
      <c r="C195" s="336" t="s">
        <v>1519</v>
      </c>
      <c r="D195" s="336">
        <v>29040</v>
      </c>
      <c r="E195" s="336" t="s">
        <v>61</v>
      </c>
      <c r="F195" s="286" t="b">
        <f t="shared" si="7"/>
        <v>0</v>
      </c>
    </row>
    <row r="196" spans="1:6" x14ac:dyDescent="0.2">
      <c r="A196" s="335">
        <v>359</v>
      </c>
      <c r="B196" s="335" t="s">
        <v>1270</v>
      </c>
      <c r="C196" s="335" t="s">
        <v>1273</v>
      </c>
      <c r="D196" s="335">
        <v>22075</v>
      </c>
      <c r="E196" s="335" t="s">
        <v>61</v>
      </c>
      <c r="F196" s="286" t="b">
        <f t="shared" si="7"/>
        <v>0</v>
      </c>
    </row>
    <row r="197" spans="1:6" x14ac:dyDescent="0.2">
      <c r="A197" s="336">
        <v>423</v>
      </c>
      <c r="B197" s="336" t="s">
        <v>1338</v>
      </c>
      <c r="C197" s="336" t="s">
        <v>1339</v>
      </c>
      <c r="D197" s="336">
        <v>26660</v>
      </c>
      <c r="E197" s="336" t="s">
        <v>61</v>
      </c>
      <c r="F197" s="286" t="b">
        <f t="shared" ref="F197:F260" si="8">C197=C196</f>
        <v>0</v>
      </c>
    </row>
    <row r="198" spans="1:6" x14ac:dyDescent="0.2">
      <c r="A198" s="335">
        <v>365</v>
      </c>
      <c r="B198" s="335" t="s">
        <v>1279</v>
      </c>
      <c r="C198" s="335" t="s">
        <v>1280</v>
      </c>
      <c r="D198" s="335">
        <v>20885</v>
      </c>
      <c r="E198" s="335" t="s">
        <v>61</v>
      </c>
      <c r="F198" s="286" t="b">
        <f t="shared" si="8"/>
        <v>0</v>
      </c>
    </row>
    <row r="199" spans="1:6" x14ac:dyDescent="0.2">
      <c r="A199" s="336">
        <v>367</v>
      </c>
      <c r="B199" s="336" t="s">
        <v>1281</v>
      </c>
      <c r="C199" s="336" t="s">
        <v>1282</v>
      </c>
      <c r="D199" s="336">
        <v>21790</v>
      </c>
      <c r="E199" s="336" t="s">
        <v>61</v>
      </c>
      <c r="F199" s="286" t="b">
        <f t="shared" si="8"/>
        <v>0</v>
      </c>
    </row>
    <row r="200" spans="1:6" x14ac:dyDescent="0.2">
      <c r="A200" s="336">
        <v>319</v>
      </c>
      <c r="B200" s="336" t="s">
        <v>1201</v>
      </c>
      <c r="C200" s="336" t="s">
        <v>1202</v>
      </c>
      <c r="D200" s="336">
        <v>27905</v>
      </c>
      <c r="E200" s="336" t="s">
        <v>61</v>
      </c>
      <c r="F200" s="286" t="b">
        <f t="shared" si="8"/>
        <v>0</v>
      </c>
    </row>
    <row r="201" spans="1:6" x14ac:dyDescent="0.2">
      <c r="A201" s="335">
        <v>369</v>
      </c>
      <c r="B201" s="335" t="s">
        <v>1283</v>
      </c>
      <c r="C201" s="335" t="s">
        <v>1284</v>
      </c>
      <c r="D201" s="335">
        <v>22115</v>
      </c>
      <c r="E201" s="335" t="s">
        <v>61</v>
      </c>
      <c r="F201" s="286" t="b">
        <f t="shared" si="8"/>
        <v>0</v>
      </c>
    </row>
    <row r="202" spans="1:6" x14ac:dyDescent="0.2">
      <c r="A202" s="335">
        <v>704</v>
      </c>
      <c r="B202" s="335" t="s">
        <v>1498</v>
      </c>
      <c r="C202" s="335" t="s">
        <v>1498</v>
      </c>
      <c r="D202" s="335">
        <v>29154</v>
      </c>
      <c r="E202" s="335" t="s">
        <v>61</v>
      </c>
      <c r="F202" s="286" t="b">
        <f t="shared" si="8"/>
        <v>0</v>
      </c>
    </row>
    <row r="203" spans="1:6" x14ac:dyDescent="0.2">
      <c r="A203" s="335">
        <v>363</v>
      </c>
      <c r="B203" s="335" t="s">
        <v>1274</v>
      </c>
      <c r="C203" s="335" t="s">
        <v>1612</v>
      </c>
      <c r="D203" s="335">
        <v>21695</v>
      </c>
      <c r="E203" s="335" t="s">
        <v>61</v>
      </c>
      <c r="F203" s="286" t="b">
        <f t="shared" si="8"/>
        <v>0</v>
      </c>
    </row>
    <row r="204" spans="1:6" x14ac:dyDescent="0.2">
      <c r="A204" s="335">
        <v>295</v>
      </c>
      <c r="B204" s="335" t="s">
        <v>1178</v>
      </c>
      <c r="C204" s="335" t="s">
        <v>1180</v>
      </c>
      <c r="D204" s="335">
        <v>21355</v>
      </c>
      <c r="E204" s="335" t="s">
        <v>61</v>
      </c>
      <c r="F204" s="286" t="b">
        <f t="shared" si="8"/>
        <v>0</v>
      </c>
    </row>
    <row r="205" spans="1:6" x14ac:dyDescent="0.2">
      <c r="A205" s="335">
        <v>371</v>
      </c>
      <c r="B205" s="335" t="s">
        <v>1286</v>
      </c>
      <c r="C205" s="335" t="s">
        <v>1295</v>
      </c>
      <c r="D205" s="335">
        <v>21885</v>
      </c>
      <c r="E205" s="335" t="s">
        <v>61</v>
      </c>
      <c r="F205" s="286" t="b">
        <f t="shared" si="8"/>
        <v>0</v>
      </c>
    </row>
    <row r="206" spans="1:6" x14ac:dyDescent="0.2">
      <c r="A206" s="336">
        <v>174</v>
      </c>
      <c r="B206" s="336" t="s">
        <v>1035</v>
      </c>
      <c r="C206" s="336" t="s">
        <v>1040</v>
      </c>
      <c r="D206" s="336">
        <v>22980</v>
      </c>
      <c r="E206" s="336" t="s">
        <v>61</v>
      </c>
      <c r="F206" s="286" t="b">
        <f t="shared" si="8"/>
        <v>0</v>
      </c>
    </row>
    <row r="207" spans="1:6" x14ac:dyDescent="0.2">
      <c r="A207" s="336">
        <v>461</v>
      </c>
      <c r="B207" s="336" t="s">
        <v>1379</v>
      </c>
      <c r="C207" s="336" t="s">
        <v>1381</v>
      </c>
      <c r="D207" s="336">
        <v>22660</v>
      </c>
      <c r="E207" s="336" t="s">
        <v>61</v>
      </c>
      <c r="F207" s="286" t="b">
        <f t="shared" si="8"/>
        <v>0</v>
      </c>
    </row>
    <row r="208" spans="1:6" x14ac:dyDescent="0.2">
      <c r="A208" s="335">
        <v>371</v>
      </c>
      <c r="B208" s="335" t="s">
        <v>1286</v>
      </c>
      <c r="C208" s="335" t="s">
        <v>1566</v>
      </c>
      <c r="D208" s="335">
        <v>29152</v>
      </c>
      <c r="E208" s="335" t="s">
        <v>1561</v>
      </c>
      <c r="F208" s="286" t="b">
        <f t="shared" si="8"/>
        <v>0</v>
      </c>
    </row>
    <row r="209" spans="1:6" x14ac:dyDescent="0.2">
      <c r="A209" s="336">
        <v>375</v>
      </c>
      <c r="B209" s="336" t="s">
        <v>1304</v>
      </c>
      <c r="C209" s="336" t="s">
        <v>1305</v>
      </c>
      <c r="D209" s="336">
        <v>21215</v>
      </c>
      <c r="E209" s="336" t="s">
        <v>61</v>
      </c>
      <c r="F209" s="286" t="b">
        <f t="shared" si="8"/>
        <v>0</v>
      </c>
    </row>
    <row r="210" spans="1:6" x14ac:dyDescent="0.2">
      <c r="A210" s="335">
        <v>377</v>
      </c>
      <c r="B210" s="335" t="s">
        <v>1306</v>
      </c>
      <c r="C210" s="335" t="s">
        <v>1307</v>
      </c>
      <c r="D210" s="335">
        <v>20715</v>
      </c>
      <c r="E210" s="335" t="s">
        <v>61</v>
      </c>
      <c r="F210" s="286" t="b">
        <f t="shared" si="8"/>
        <v>0</v>
      </c>
    </row>
    <row r="211" spans="1:6" x14ac:dyDescent="0.2">
      <c r="A211" s="335">
        <v>208</v>
      </c>
      <c r="B211" s="335" t="s">
        <v>1074</v>
      </c>
      <c r="C211" s="335" t="s">
        <v>1076</v>
      </c>
      <c r="D211" s="335">
        <v>22400</v>
      </c>
      <c r="E211" s="335" t="s">
        <v>61</v>
      </c>
      <c r="F211" s="286" t="b">
        <f t="shared" si="8"/>
        <v>0</v>
      </c>
    </row>
    <row r="212" spans="1:6" x14ac:dyDescent="0.2">
      <c r="A212" s="336">
        <v>449</v>
      </c>
      <c r="B212" s="336" t="s">
        <v>1366</v>
      </c>
      <c r="C212" s="336" t="s">
        <v>1369</v>
      </c>
      <c r="D212" s="336">
        <v>22525</v>
      </c>
      <c r="E212" s="336" t="s">
        <v>61</v>
      </c>
      <c r="F212" s="286" t="b">
        <f t="shared" si="8"/>
        <v>0</v>
      </c>
    </row>
    <row r="213" spans="1:6" x14ac:dyDescent="0.2">
      <c r="A213" s="335">
        <v>388</v>
      </c>
      <c r="B213" s="335" t="s">
        <v>1544</v>
      </c>
      <c r="C213" s="335" t="s">
        <v>1317</v>
      </c>
      <c r="D213" s="335">
        <v>20105</v>
      </c>
      <c r="E213" s="335" t="s">
        <v>61</v>
      </c>
      <c r="F213" s="286" t="b">
        <f t="shared" si="8"/>
        <v>0</v>
      </c>
    </row>
    <row r="214" spans="1:6" x14ac:dyDescent="0.2">
      <c r="A214" s="336">
        <v>371</v>
      </c>
      <c r="B214" s="336" t="s">
        <v>1286</v>
      </c>
      <c r="C214" s="336" t="s">
        <v>1290</v>
      </c>
      <c r="D214" s="336">
        <v>21845</v>
      </c>
      <c r="E214" s="336" t="s">
        <v>61</v>
      </c>
      <c r="F214" s="286" t="b">
        <f t="shared" si="8"/>
        <v>0</v>
      </c>
    </row>
    <row r="215" spans="1:6" x14ac:dyDescent="0.2">
      <c r="A215" s="335">
        <v>387</v>
      </c>
      <c r="B215" s="335" t="s">
        <v>1310</v>
      </c>
      <c r="C215" s="335" t="s">
        <v>1311</v>
      </c>
      <c r="D215" s="335">
        <v>20610</v>
      </c>
      <c r="E215" s="335" t="s">
        <v>61</v>
      </c>
      <c r="F215" s="286" t="b">
        <f t="shared" si="8"/>
        <v>0</v>
      </c>
    </row>
    <row r="216" spans="1:6" x14ac:dyDescent="0.2">
      <c r="A216" s="336">
        <v>391</v>
      </c>
      <c r="B216" s="336" t="s">
        <v>1318</v>
      </c>
      <c r="C216" s="336" t="s">
        <v>1319</v>
      </c>
      <c r="D216" s="336">
        <v>22465</v>
      </c>
      <c r="E216" s="336" t="s">
        <v>61</v>
      </c>
      <c r="F216" s="286" t="b">
        <f t="shared" si="8"/>
        <v>0</v>
      </c>
    </row>
    <row r="217" spans="1:6" x14ac:dyDescent="0.2">
      <c r="A217" s="335">
        <v>399</v>
      </c>
      <c r="B217" s="335" t="s">
        <v>1320</v>
      </c>
      <c r="C217" s="335" t="s">
        <v>1321</v>
      </c>
      <c r="D217" s="335">
        <v>21300</v>
      </c>
      <c r="E217" s="335" t="s">
        <v>61</v>
      </c>
      <c r="F217" s="286" t="b">
        <f t="shared" si="8"/>
        <v>0</v>
      </c>
    </row>
    <row r="218" spans="1:6" x14ac:dyDescent="0.2">
      <c r="A218" s="336">
        <v>399</v>
      </c>
      <c r="B218" s="336" t="s">
        <v>1320</v>
      </c>
      <c r="C218" s="336" t="s">
        <v>1323</v>
      </c>
      <c r="D218" s="336">
        <v>26560</v>
      </c>
      <c r="E218" s="336" t="s">
        <v>61</v>
      </c>
      <c r="F218" s="286" t="b">
        <f t="shared" si="8"/>
        <v>0</v>
      </c>
    </row>
    <row r="219" spans="1:6" x14ac:dyDescent="0.2">
      <c r="A219" s="336">
        <v>405</v>
      </c>
      <c r="B219" s="336" t="s">
        <v>1328</v>
      </c>
      <c r="C219" s="336" t="s">
        <v>1329</v>
      </c>
      <c r="D219" s="336">
        <v>20805</v>
      </c>
      <c r="E219" s="336" t="s">
        <v>61</v>
      </c>
      <c r="F219" s="286" t="b">
        <f t="shared" si="8"/>
        <v>0</v>
      </c>
    </row>
    <row r="220" spans="1:6" x14ac:dyDescent="0.2">
      <c r="A220" s="335">
        <v>319</v>
      </c>
      <c r="B220" s="335" t="s">
        <v>1201</v>
      </c>
      <c r="C220" s="335" t="s">
        <v>1203</v>
      </c>
      <c r="D220" s="335">
        <v>20470</v>
      </c>
      <c r="E220" s="335" t="s">
        <v>61</v>
      </c>
      <c r="F220" s="286" t="b">
        <f t="shared" si="8"/>
        <v>0</v>
      </c>
    </row>
    <row r="221" spans="1:6" x14ac:dyDescent="0.2">
      <c r="A221" s="335">
        <v>473</v>
      </c>
      <c r="B221" s="335" t="s">
        <v>1398</v>
      </c>
      <c r="C221" s="335" t="s">
        <v>1404</v>
      </c>
      <c r="D221" s="335">
        <v>22890</v>
      </c>
      <c r="E221" s="335" t="s">
        <v>61</v>
      </c>
      <c r="F221" s="286" t="b">
        <f t="shared" si="8"/>
        <v>0</v>
      </c>
    </row>
    <row r="222" spans="1:6" x14ac:dyDescent="0.2">
      <c r="A222" s="335">
        <v>174</v>
      </c>
      <c r="B222" s="335" t="s">
        <v>1035</v>
      </c>
      <c r="C222" s="335" t="s">
        <v>1044</v>
      </c>
      <c r="D222" s="335">
        <v>23005</v>
      </c>
      <c r="E222" s="335" t="s">
        <v>61</v>
      </c>
      <c r="F222" s="286" t="b">
        <f t="shared" si="8"/>
        <v>0</v>
      </c>
    </row>
    <row r="223" spans="1:6" x14ac:dyDescent="0.2">
      <c r="A223" s="336">
        <v>716</v>
      </c>
      <c r="B223" s="336" t="s">
        <v>1635</v>
      </c>
      <c r="C223" s="336" t="s">
        <v>1635</v>
      </c>
      <c r="D223" s="336">
        <v>29231</v>
      </c>
      <c r="E223" s="336" t="s">
        <v>61</v>
      </c>
      <c r="F223" s="286" t="b">
        <f t="shared" si="8"/>
        <v>0</v>
      </c>
    </row>
    <row r="224" spans="1:6" x14ac:dyDescent="0.2">
      <c r="A224" s="336">
        <v>335</v>
      </c>
      <c r="B224" s="336" t="s">
        <v>906</v>
      </c>
      <c r="C224" s="336" t="s">
        <v>1229</v>
      </c>
      <c r="D224" s="336">
        <v>26435</v>
      </c>
      <c r="E224" s="336" t="s">
        <v>61</v>
      </c>
      <c r="F224" s="286" t="b">
        <f t="shared" si="8"/>
        <v>0</v>
      </c>
    </row>
    <row r="225" spans="1:6" x14ac:dyDescent="0.2">
      <c r="A225" s="335">
        <v>411</v>
      </c>
      <c r="B225" s="335" t="s">
        <v>1334</v>
      </c>
      <c r="C225" s="335" t="s">
        <v>1335</v>
      </c>
      <c r="D225" s="335">
        <v>22085</v>
      </c>
      <c r="E225" s="335" t="s">
        <v>61</v>
      </c>
      <c r="F225" s="286" t="b">
        <f t="shared" si="8"/>
        <v>0</v>
      </c>
    </row>
    <row r="226" spans="1:6" x14ac:dyDescent="0.2">
      <c r="A226" s="336">
        <v>413</v>
      </c>
      <c r="B226" s="336" t="s">
        <v>1336</v>
      </c>
      <c r="C226" s="336" t="s">
        <v>1337</v>
      </c>
      <c r="D226" s="336">
        <v>22095</v>
      </c>
      <c r="E226" s="336" t="s">
        <v>61</v>
      </c>
      <c r="F226" s="286" t="b">
        <f t="shared" si="8"/>
        <v>0</v>
      </c>
    </row>
    <row r="227" spans="1:6" x14ac:dyDescent="0.2">
      <c r="A227" s="335">
        <v>267</v>
      </c>
      <c r="B227" s="335" t="s">
        <v>1132</v>
      </c>
      <c r="C227" s="335" t="s">
        <v>1137</v>
      </c>
      <c r="D227" s="335">
        <v>26765</v>
      </c>
      <c r="E227" s="335" t="s">
        <v>61</v>
      </c>
      <c r="F227" s="286" t="b">
        <f t="shared" si="8"/>
        <v>0</v>
      </c>
    </row>
    <row r="228" spans="1:6" x14ac:dyDescent="0.2">
      <c r="A228" s="336">
        <v>208</v>
      </c>
      <c r="B228" s="336" t="s">
        <v>1074</v>
      </c>
      <c r="C228" s="336" t="s">
        <v>1077</v>
      </c>
      <c r="D228" s="336">
        <v>22405</v>
      </c>
      <c r="E228" s="336" t="s">
        <v>61</v>
      </c>
      <c r="F228" s="286" t="b">
        <f t="shared" si="8"/>
        <v>0</v>
      </c>
    </row>
    <row r="229" spans="1:6" x14ac:dyDescent="0.2">
      <c r="A229" s="335">
        <v>423</v>
      </c>
      <c r="B229" s="335" t="s">
        <v>1338</v>
      </c>
      <c r="C229" s="335" t="s">
        <v>1568</v>
      </c>
      <c r="D229" s="335">
        <v>29210</v>
      </c>
      <c r="E229" s="335" t="s">
        <v>1561</v>
      </c>
      <c r="F229" s="286" t="b">
        <f t="shared" si="8"/>
        <v>0</v>
      </c>
    </row>
    <row r="230" spans="1:6" x14ac:dyDescent="0.2">
      <c r="A230" s="335">
        <v>335</v>
      </c>
      <c r="B230" s="335" t="s">
        <v>906</v>
      </c>
      <c r="C230" s="335" t="s">
        <v>1217</v>
      </c>
      <c r="D230" s="335">
        <v>21540</v>
      </c>
      <c r="E230" s="335" t="s">
        <v>61</v>
      </c>
      <c r="F230" s="286" t="b">
        <f t="shared" si="8"/>
        <v>0</v>
      </c>
    </row>
    <row r="231" spans="1:6" x14ac:dyDescent="0.2">
      <c r="A231" s="335">
        <v>185</v>
      </c>
      <c r="B231" s="335" t="s">
        <v>1051</v>
      </c>
      <c r="C231" s="335" t="s">
        <v>1052</v>
      </c>
      <c r="D231" s="335">
        <v>20650</v>
      </c>
      <c r="E231" s="335" t="s">
        <v>61</v>
      </c>
      <c r="F231" s="286" t="b">
        <f t="shared" si="8"/>
        <v>0</v>
      </c>
    </row>
    <row r="232" spans="1:6" x14ac:dyDescent="0.2">
      <c r="A232" s="336">
        <v>543</v>
      </c>
      <c r="B232" s="336" t="s">
        <v>1456</v>
      </c>
      <c r="C232" s="336" t="s">
        <v>1457</v>
      </c>
      <c r="D232" s="336">
        <v>22110</v>
      </c>
      <c r="E232" s="336" t="s">
        <v>61</v>
      </c>
      <c r="F232" s="286" t="b">
        <f t="shared" si="8"/>
        <v>0</v>
      </c>
    </row>
    <row r="233" spans="1:6" x14ac:dyDescent="0.2">
      <c r="A233" s="336">
        <v>449</v>
      </c>
      <c r="B233" s="336" t="s">
        <v>1366</v>
      </c>
      <c r="C233" s="336" t="s">
        <v>1569</v>
      </c>
      <c r="D233" s="336">
        <v>22560</v>
      </c>
      <c r="E233" s="336" t="s">
        <v>1561</v>
      </c>
      <c r="F233" s="286" t="b">
        <f t="shared" si="8"/>
        <v>0</v>
      </c>
    </row>
    <row r="234" spans="1:6" x14ac:dyDescent="0.2">
      <c r="A234" s="335">
        <v>425</v>
      </c>
      <c r="B234" s="335" t="s">
        <v>1343</v>
      </c>
      <c r="C234" s="335" t="s">
        <v>1344</v>
      </c>
      <c r="D234" s="335">
        <v>27970</v>
      </c>
      <c r="E234" s="335" t="s">
        <v>61</v>
      </c>
      <c r="F234" s="286" t="b">
        <f t="shared" si="8"/>
        <v>0</v>
      </c>
    </row>
    <row r="235" spans="1:6" x14ac:dyDescent="0.2">
      <c r="A235" s="336">
        <v>425</v>
      </c>
      <c r="B235" s="336" t="s">
        <v>1343</v>
      </c>
      <c r="C235" s="336" t="s">
        <v>1346</v>
      </c>
      <c r="D235" s="336">
        <v>21110</v>
      </c>
      <c r="E235" s="336" t="s">
        <v>61</v>
      </c>
      <c r="F235" s="286" t="b">
        <f t="shared" si="8"/>
        <v>0</v>
      </c>
    </row>
    <row r="236" spans="1:6" x14ac:dyDescent="0.2">
      <c r="A236" s="335">
        <v>427</v>
      </c>
      <c r="B236" s="335" t="s">
        <v>1347</v>
      </c>
      <c r="C236" s="335" t="s">
        <v>1348</v>
      </c>
      <c r="D236" s="335">
        <v>22615</v>
      </c>
      <c r="E236" s="335" t="s">
        <v>61</v>
      </c>
      <c r="F236" s="286" t="b">
        <f t="shared" si="8"/>
        <v>0</v>
      </c>
    </row>
    <row r="237" spans="1:6" x14ac:dyDescent="0.2">
      <c r="A237" s="336">
        <v>352</v>
      </c>
      <c r="B237" s="336" t="s">
        <v>1253</v>
      </c>
      <c r="C237" s="336" t="s">
        <v>1257</v>
      </c>
      <c r="D237" s="336">
        <v>22185</v>
      </c>
      <c r="E237" s="336" t="s">
        <v>61</v>
      </c>
      <c r="F237" s="286" t="b">
        <f t="shared" si="8"/>
        <v>0</v>
      </c>
    </row>
    <row r="238" spans="1:6" x14ac:dyDescent="0.2">
      <c r="A238" s="336">
        <v>41</v>
      </c>
      <c r="B238" s="336" t="s">
        <v>935</v>
      </c>
      <c r="C238" s="336" t="s">
        <v>936</v>
      </c>
      <c r="D238" s="336">
        <v>21000</v>
      </c>
      <c r="E238" s="336" t="s">
        <v>61</v>
      </c>
      <c r="F238" s="286" t="b">
        <f t="shared" si="8"/>
        <v>0</v>
      </c>
    </row>
    <row r="239" spans="1:6" x14ac:dyDescent="0.2">
      <c r="A239" s="335">
        <v>112</v>
      </c>
      <c r="B239" s="335" t="s">
        <v>978</v>
      </c>
      <c r="C239" s="335" t="s">
        <v>988</v>
      </c>
      <c r="D239" s="335">
        <v>22310</v>
      </c>
      <c r="E239" s="335" t="s">
        <v>61</v>
      </c>
      <c r="F239" s="286" t="b">
        <f t="shared" si="8"/>
        <v>0</v>
      </c>
    </row>
    <row r="240" spans="1:6" x14ac:dyDescent="0.2">
      <c r="A240" s="336">
        <v>112</v>
      </c>
      <c r="B240" s="336" t="s">
        <v>978</v>
      </c>
      <c r="C240" s="336" t="s">
        <v>981</v>
      </c>
      <c r="D240" s="336">
        <v>22225</v>
      </c>
      <c r="E240" s="336" t="s">
        <v>61</v>
      </c>
      <c r="F240" s="286" t="b">
        <f t="shared" si="8"/>
        <v>0</v>
      </c>
    </row>
    <row r="241" spans="1:6" x14ac:dyDescent="0.2">
      <c r="A241" s="335">
        <v>435</v>
      </c>
      <c r="B241" s="335" t="s">
        <v>1353</v>
      </c>
      <c r="C241" s="335" t="s">
        <v>1354</v>
      </c>
      <c r="D241" s="335">
        <v>20895</v>
      </c>
      <c r="E241" s="335" t="s">
        <v>61</v>
      </c>
      <c r="F241" s="286" t="b">
        <f t="shared" si="8"/>
        <v>0</v>
      </c>
    </row>
    <row r="242" spans="1:6" x14ac:dyDescent="0.2">
      <c r="A242" s="336">
        <v>113</v>
      </c>
      <c r="B242" s="336" t="s">
        <v>990</v>
      </c>
      <c r="C242" s="336" t="s">
        <v>991</v>
      </c>
      <c r="D242" s="336">
        <v>20330</v>
      </c>
      <c r="E242" s="336" t="s">
        <v>61</v>
      </c>
      <c r="F242" s="286" t="b">
        <f t="shared" si="8"/>
        <v>0</v>
      </c>
    </row>
    <row r="243" spans="1:6" x14ac:dyDescent="0.2">
      <c r="A243" s="336">
        <v>437</v>
      </c>
      <c r="B243" s="336" t="s">
        <v>1355</v>
      </c>
      <c r="C243" s="336" t="s">
        <v>1356</v>
      </c>
      <c r="D243" s="336">
        <v>20205</v>
      </c>
      <c r="E243" s="336" t="s">
        <v>61</v>
      </c>
      <c r="F243" s="286" t="b">
        <f t="shared" si="8"/>
        <v>0</v>
      </c>
    </row>
    <row r="244" spans="1:6" x14ac:dyDescent="0.2">
      <c r="A244" s="335">
        <v>439</v>
      </c>
      <c r="B244" s="335" t="s">
        <v>1358</v>
      </c>
      <c r="C244" s="335" t="s">
        <v>1359</v>
      </c>
      <c r="D244" s="335">
        <v>26595</v>
      </c>
      <c r="E244" s="335" t="s">
        <v>61</v>
      </c>
      <c r="F244" s="286" t="b">
        <f t="shared" si="8"/>
        <v>0</v>
      </c>
    </row>
    <row r="245" spans="1:6" x14ac:dyDescent="0.2">
      <c r="A245" s="336">
        <v>441</v>
      </c>
      <c r="B245" s="336" t="s">
        <v>1362</v>
      </c>
      <c r="C245" s="336" t="s">
        <v>1363</v>
      </c>
      <c r="D245" s="336">
        <v>21375</v>
      </c>
      <c r="E245" s="336" t="s">
        <v>61</v>
      </c>
      <c r="F245" s="286" t="b">
        <f t="shared" si="8"/>
        <v>0</v>
      </c>
    </row>
    <row r="246" spans="1:6" x14ac:dyDescent="0.2">
      <c r="A246" s="336">
        <v>285</v>
      </c>
      <c r="B246" s="336" t="s">
        <v>1168</v>
      </c>
      <c r="C246" s="336" t="s">
        <v>1170</v>
      </c>
      <c r="D246" s="336">
        <v>21260</v>
      </c>
      <c r="E246" s="336" t="s">
        <v>61</v>
      </c>
      <c r="F246" s="286" t="b">
        <f t="shared" si="8"/>
        <v>0</v>
      </c>
    </row>
    <row r="247" spans="1:6" x14ac:dyDescent="0.2">
      <c r="A247" s="335">
        <v>447</v>
      </c>
      <c r="B247" s="335" t="s">
        <v>1364</v>
      </c>
      <c r="C247" s="335" t="s">
        <v>1365</v>
      </c>
      <c r="D247" s="335">
        <v>22355</v>
      </c>
      <c r="E247" s="335" t="s">
        <v>61</v>
      </c>
      <c r="F247" s="286" t="b">
        <f t="shared" si="8"/>
        <v>0</v>
      </c>
    </row>
    <row r="248" spans="1:6" x14ac:dyDescent="0.2">
      <c r="A248" s="336">
        <v>735</v>
      </c>
      <c r="B248" s="336" t="s">
        <v>1526</v>
      </c>
      <c r="C248" s="336" t="s">
        <v>1526</v>
      </c>
      <c r="D248" s="336">
        <v>29065</v>
      </c>
      <c r="E248" s="336" t="s">
        <v>61</v>
      </c>
      <c r="F248" s="286" t="b">
        <f t="shared" si="8"/>
        <v>0</v>
      </c>
    </row>
    <row r="249" spans="1:6" x14ac:dyDescent="0.2">
      <c r="A249" s="336">
        <v>534</v>
      </c>
      <c r="B249" s="336" t="s">
        <v>1446</v>
      </c>
      <c r="C249" s="336" t="s">
        <v>1451</v>
      </c>
      <c r="D249" s="336">
        <v>22765</v>
      </c>
      <c r="E249" s="336" t="s">
        <v>61</v>
      </c>
      <c r="F249" s="286" t="b">
        <f t="shared" si="8"/>
        <v>0</v>
      </c>
    </row>
    <row r="250" spans="1:6" x14ac:dyDescent="0.2">
      <c r="A250" s="336">
        <v>371</v>
      </c>
      <c r="B250" s="336" t="s">
        <v>1286</v>
      </c>
      <c r="C250" s="336" t="s">
        <v>1567</v>
      </c>
      <c r="D250" s="336">
        <v>28610</v>
      </c>
      <c r="E250" s="336" t="s">
        <v>1561</v>
      </c>
      <c r="F250" s="286" t="b">
        <f t="shared" si="8"/>
        <v>0</v>
      </c>
    </row>
    <row r="251" spans="1:6" x14ac:dyDescent="0.2">
      <c r="A251" s="336">
        <v>351</v>
      </c>
      <c r="B251" s="336" t="s">
        <v>1246</v>
      </c>
      <c r="C251" s="336" t="s">
        <v>1248</v>
      </c>
      <c r="D251" s="336">
        <v>21015</v>
      </c>
      <c r="E251" s="336" t="s">
        <v>61</v>
      </c>
      <c r="F251" s="286" t="b">
        <f t="shared" si="8"/>
        <v>0</v>
      </c>
    </row>
    <row r="252" spans="1:6" x14ac:dyDescent="0.2">
      <c r="A252" s="335">
        <v>71</v>
      </c>
      <c r="B252" s="335" t="s">
        <v>951</v>
      </c>
      <c r="C252" s="335" t="s">
        <v>953</v>
      </c>
      <c r="D252" s="335">
        <v>21800</v>
      </c>
      <c r="E252" s="335" t="s">
        <v>61</v>
      </c>
      <c r="F252" s="286" t="b">
        <f t="shared" si="8"/>
        <v>0</v>
      </c>
    </row>
    <row r="253" spans="1:6" x14ac:dyDescent="0.2">
      <c r="A253" s="335">
        <v>401</v>
      </c>
      <c r="B253" s="335" t="s">
        <v>1324</v>
      </c>
      <c r="C253" s="335" t="s">
        <v>1327</v>
      </c>
      <c r="D253" s="335">
        <v>21995</v>
      </c>
      <c r="E253" s="335" t="s">
        <v>61</v>
      </c>
      <c r="F253" s="286" t="b">
        <f t="shared" si="8"/>
        <v>0</v>
      </c>
    </row>
    <row r="254" spans="1:6" x14ac:dyDescent="0.2">
      <c r="A254" s="335">
        <v>41</v>
      </c>
      <c r="B254" s="335" t="s">
        <v>935</v>
      </c>
      <c r="C254" s="335" t="s">
        <v>938</v>
      </c>
      <c r="D254" s="335">
        <v>27680</v>
      </c>
      <c r="E254" s="335" t="s">
        <v>61</v>
      </c>
      <c r="F254" s="286" t="b">
        <f t="shared" si="8"/>
        <v>0</v>
      </c>
    </row>
    <row r="255" spans="1:6" x14ac:dyDescent="0.2">
      <c r="A255" s="335">
        <v>274</v>
      </c>
      <c r="B255" s="335" t="s">
        <v>1145</v>
      </c>
      <c r="C255" s="335" t="s">
        <v>1146</v>
      </c>
      <c r="D255" s="335">
        <v>22320</v>
      </c>
      <c r="E255" s="335" t="s">
        <v>61</v>
      </c>
      <c r="F255" s="286" t="b">
        <f t="shared" si="8"/>
        <v>0</v>
      </c>
    </row>
    <row r="256" spans="1:6" x14ac:dyDescent="0.2">
      <c r="A256" s="336">
        <v>457</v>
      </c>
      <c r="B256" s="336" t="s">
        <v>1633</v>
      </c>
      <c r="C256" s="336" t="s">
        <v>1634</v>
      </c>
      <c r="D256" s="336">
        <v>29196</v>
      </c>
      <c r="E256" s="336" t="s">
        <v>61</v>
      </c>
      <c r="F256" s="286" t="b">
        <f t="shared" si="8"/>
        <v>0</v>
      </c>
    </row>
    <row r="257" spans="1:6" x14ac:dyDescent="0.2">
      <c r="A257" s="335">
        <v>737</v>
      </c>
      <c r="B257" s="335" t="s">
        <v>1527</v>
      </c>
      <c r="C257" s="335" t="s">
        <v>1527</v>
      </c>
      <c r="D257" s="335">
        <v>29070</v>
      </c>
      <c r="E257" s="335" t="s">
        <v>61</v>
      </c>
      <c r="F257" s="286" t="b">
        <f t="shared" si="8"/>
        <v>0</v>
      </c>
    </row>
    <row r="258" spans="1:6" x14ac:dyDescent="0.2">
      <c r="A258" s="335">
        <v>463</v>
      </c>
      <c r="B258" s="335" t="s">
        <v>1391</v>
      </c>
      <c r="C258" s="335" t="s">
        <v>1392</v>
      </c>
      <c r="D258" s="335">
        <v>22810</v>
      </c>
      <c r="E258" s="335" t="s">
        <v>61</v>
      </c>
      <c r="F258" s="286" t="b">
        <f t="shared" si="8"/>
        <v>0</v>
      </c>
    </row>
    <row r="259" spans="1:6" x14ac:dyDescent="0.2">
      <c r="A259" s="336">
        <v>467</v>
      </c>
      <c r="B259" s="336" t="s">
        <v>1393</v>
      </c>
      <c r="C259" s="336" t="s">
        <v>1394</v>
      </c>
      <c r="D259" s="336">
        <v>22375</v>
      </c>
      <c r="E259" s="336" t="s">
        <v>61</v>
      </c>
      <c r="F259" s="286" t="b">
        <f t="shared" si="8"/>
        <v>0</v>
      </c>
    </row>
    <row r="260" spans="1:6" x14ac:dyDescent="0.2">
      <c r="A260" s="335">
        <v>471</v>
      </c>
      <c r="B260" s="335" t="s">
        <v>1395</v>
      </c>
      <c r="C260" s="335" t="s">
        <v>1397</v>
      </c>
      <c r="D260" s="335">
        <v>22475</v>
      </c>
      <c r="E260" s="335" t="s">
        <v>61</v>
      </c>
      <c r="F260" s="286" t="b">
        <f t="shared" si="8"/>
        <v>0</v>
      </c>
    </row>
    <row r="261" spans="1:6" x14ac:dyDescent="0.2">
      <c r="A261" s="336">
        <v>471</v>
      </c>
      <c r="B261" s="336" t="s">
        <v>1395</v>
      </c>
      <c r="C261" s="336" t="s">
        <v>1396</v>
      </c>
      <c r="D261" s="336">
        <v>22470</v>
      </c>
      <c r="E261" s="336" t="s">
        <v>61</v>
      </c>
      <c r="F261" s="286" t="b">
        <f t="shared" ref="F261:F324" si="9">C261=C260</f>
        <v>0</v>
      </c>
    </row>
    <row r="262" spans="1:6" x14ac:dyDescent="0.2">
      <c r="A262" s="335">
        <v>473</v>
      </c>
      <c r="B262" s="335" t="s">
        <v>1398</v>
      </c>
      <c r="C262" s="335" t="s">
        <v>1614</v>
      </c>
      <c r="D262" s="335">
        <v>29225</v>
      </c>
      <c r="E262" s="335" t="s">
        <v>1561</v>
      </c>
      <c r="F262" s="286" t="b">
        <f t="shared" si="9"/>
        <v>0</v>
      </c>
    </row>
    <row r="263" spans="1:6" x14ac:dyDescent="0.2">
      <c r="A263" s="335">
        <v>352</v>
      </c>
      <c r="B263" s="335" t="s">
        <v>1253</v>
      </c>
      <c r="C263" s="335" t="s">
        <v>1259</v>
      </c>
      <c r="D263" s="335">
        <v>22200</v>
      </c>
      <c r="E263" s="335" t="s">
        <v>61</v>
      </c>
      <c r="F263" s="286" t="b">
        <f t="shared" si="9"/>
        <v>0</v>
      </c>
    </row>
    <row r="264" spans="1:6" x14ac:dyDescent="0.2">
      <c r="A264" s="336">
        <v>582</v>
      </c>
      <c r="B264" s="336" t="s">
        <v>1488</v>
      </c>
      <c r="C264" s="336" t="s">
        <v>1489</v>
      </c>
      <c r="D264" s="336">
        <v>22925</v>
      </c>
      <c r="E264" s="336" t="s">
        <v>61</v>
      </c>
      <c r="F264" s="286" t="b">
        <f t="shared" si="9"/>
        <v>0</v>
      </c>
    </row>
    <row r="265" spans="1:6" x14ac:dyDescent="0.2">
      <c r="A265" s="335">
        <v>534</v>
      </c>
      <c r="B265" s="335" t="s">
        <v>1446</v>
      </c>
      <c r="C265" s="335" t="s">
        <v>1453</v>
      </c>
      <c r="D265" s="335">
        <v>22775</v>
      </c>
      <c r="E265" s="335" t="s">
        <v>61</v>
      </c>
      <c r="F265" s="286" t="b">
        <f t="shared" si="9"/>
        <v>0</v>
      </c>
    </row>
    <row r="266" spans="1:6" x14ac:dyDescent="0.2">
      <c r="A266" s="336">
        <v>534</v>
      </c>
      <c r="B266" s="336" t="s">
        <v>1446</v>
      </c>
      <c r="C266" s="336" t="s">
        <v>1447</v>
      </c>
      <c r="D266" s="336">
        <v>27910</v>
      </c>
      <c r="E266" s="336" t="s">
        <v>61</v>
      </c>
      <c r="F266" s="286" t="b">
        <f t="shared" si="9"/>
        <v>0</v>
      </c>
    </row>
    <row r="267" spans="1:6" x14ac:dyDescent="0.2">
      <c r="A267" s="336">
        <v>269</v>
      </c>
      <c r="B267" s="336" t="s">
        <v>1138</v>
      </c>
      <c r="C267" s="336" t="s">
        <v>1142</v>
      </c>
      <c r="D267" s="336">
        <v>20040</v>
      </c>
      <c r="E267" s="336" t="s">
        <v>61</v>
      </c>
      <c r="F267" s="286" t="b">
        <f t="shared" si="9"/>
        <v>0</v>
      </c>
    </row>
    <row r="268" spans="1:6" x14ac:dyDescent="0.2">
      <c r="A268" s="336">
        <v>174</v>
      </c>
      <c r="B268" s="336" t="s">
        <v>1035</v>
      </c>
      <c r="C268" s="336" t="s">
        <v>1043</v>
      </c>
      <c r="D268" s="336">
        <v>22995</v>
      </c>
      <c r="E268" s="336" t="s">
        <v>61</v>
      </c>
      <c r="F268" s="286" t="b">
        <f t="shared" si="9"/>
        <v>0</v>
      </c>
    </row>
    <row r="269" spans="1:6" x14ac:dyDescent="0.2">
      <c r="A269" s="335">
        <v>461</v>
      </c>
      <c r="B269" s="335" t="s">
        <v>1379</v>
      </c>
      <c r="C269" s="335" t="s">
        <v>1388</v>
      </c>
      <c r="D269" s="335">
        <v>22720</v>
      </c>
      <c r="E269" s="335" t="s">
        <v>61</v>
      </c>
      <c r="F269" s="286" t="b">
        <f t="shared" si="9"/>
        <v>0</v>
      </c>
    </row>
    <row r="270" spans="1:6" x14ac:dyDescent="0.2">
      <c r="A270" s="336">
        <v>485</v>
      </c>
      <c r="B270" s="336" t="s">
        <v>1410</v>
      </c>
      <c r="C270" s="336" t="s">
        <v>1412</v>
      </c>
      <c r="D270" s="336">
        <v>20810</v>
      </c>
      <c r="E270" s="336" t="s">
        <v>61</v>
      </c>
      <c r="F270" s="286" t="b">
        <f t="shared" si="9"/>
        <v>0</v>
      </c>
    </row>
    <row r="271" spans="1:6" x14ac:dyDescent="0.2">
      <c r="A271" s="335">
        <v>485</v>
      </c>
      <c r="B271" s="335" t="s">
        <v>1410</v>
      </c>
      <c r="C271" s="335" t="s">
        <v>1411</v>
      </c>
      <c r="D271" s="335">
        <v>27995</v>
      </c>
      <c r="E271" s="335" t="s">
        <v>61</v>
      </c>
      <c r="F271" s="286" t="b">
        <f t="shared" si="9"/>
        <v>0</v>
      </c>
    </row>
    <row r="272" spans="1:6" x14ac:dyDescent="0.2">
      <c r="A272" s="336">
        <v>705</v>
      </c>
      <c r="B272" s="336" t="s">
        <v>1499</v>
      </c>
      <c r="C272" s="336" t="s">
        <v>1499</v>
      </c>
      <c r="D272" s="336">
        <v>28400</v>
      </c>
      <c r="E272" s="336" t="s">
        <v>61</v>
      </c>
      <c r="F272" s="286" t="b">
        <f t="shared" si="9"/>
        <v>0</v>
      </c>
    </row>
    <row r="273" spans="1:6" x14ac:dyDescent="0.2">
      <c r="A273" s="336">
        <v>276</v>
      </c>
      <c r="B273" s="336" t="s">
        <v>1152</v>
      </c>
      <c r="C273" s="336" t="s">
        <v>1155</v>
      </c>
      <c r="D273" s="336">
        <v>22020</v>
      </c>
      <c r="E273" s="336" t="s">
        <v>61</v>
      </c>
      <c r="F273" s="286" t="b">
        <f t="shared" si="9"/>
        <v>0</v>
      </c>
    </row>
    <row r="274" spans="1:6" x14ac:dyDescent="0.2">
      <c r="A274" s="336">
        <v>335</v>
      </c>
      <c r="B274" s="336" t="s">
        <v>906</v>
      </c>
      <c r="C274" s="336" t="s">
        <v>1225</v>
      </c>
      <c r="D274" s="336">
        <v>21605</v>
      </c>
      <c r="E274" s="336" t="s">
        <v>61</v>
      </c>
      <c r="F274" s="286" t="b">
        <f t="shared" si="9"/>
        <v>0</v>
      </c>
    </row>
    <row r="275" spans="1:6" x14ac:dyDescent="0.2">
      <c r="A275" s="336">
        <v>495</v>
      </c>
      <c r="B275" s="336" t="s">
        <v>1425</v>
      </c>
      <c r="C275" s="336" t="s">
        <v>1426</v>
      </c>
      <c r="D275" s="336">
        <v>20815</v>
      </c>
      <c r="E275" s="336" t="s">
        <v>61</v>
      </c>
      <c r="F275" s="286" t="b">
        <f t="shared" si="9"/>
        <v>0</v>
      </c>
    </row>
    <row r="276" spans="1:6" x14ac:dyDescent="0.2">
      <c r="A276" s="336">
        <v>319</v>
      </c>
      <c r="B276" s="336" t="s">
        <v>1201</v>
      </c>
      <c r="C276" s="336" t="s">
        <v>1204</v>
      </c>
      <c r="D276" s="336">
        <v>20475</v>
      </c>
      <c r="E276" s="336" t="s">
        <v>61</v>
      </c>
      <c r="F276" s="286" t="b">
        <f t="shared" si="9"/>
        <v>0</v>
      </c>
    </row>
    <row r="277" spans="1:6" x14ac:dyDescent="0.2">
      <c r="A277" s="336">
        <v>131</v>
      </c>
      <c r="B277" s="336" t="s">
        <v>1001</v>
      </c>
      <c r="C277" s="336" t="s">
        <v>1007</v>
      </c>
      <c r="D277" s="336">
        <v>20405</v>
      </c>
      <c r="E277" s="336" t="s">
        <v>61</v>
      </c>
      <c r="F277" s="286" t="b">
        <f t="shared" si="9"/>
        <v>0</v>
      </c>
    </row>
    <row r="278" spans="1:6" x14ac:dyDescent="0.2">
      <c r="A278" s="335">
        <v>582</v>
      </c>
      <c r="B278" s="335" t="s">
        <v>1488</v>
      </c>
      <c r="C278" s="335" t="s">
        <v>1493</v>
      </c>
      <c r="D278" s="335">
        <v>27070</v>
      </c>
      <c r="E278" s="335" t="s">
        <v>61</v>
      </c>
      <c r="F278" s="286" t="b">
        <f t="shared" si="9"/>
        <v>0</v>
      </c>
    </row>
    <row r="279" spans="1:6" x14ac:dyDescent="0.2">
      <c r="A279" s="335">
        <v>499</v>
      </c>
      <c r="B279" s="335" t="s">
        <v>1427</v>
      </c>
      <c r="C279" s="335" t="s">
        <v>1428</v>
      </c>
      <c r="D279" s="335">
        <v>22910</v>
      </c>
      <c r="E279" s="335" t="s">
        <v>61</v>
      </c>
      <c r="F279" s="286" t="b">
        <f t="shared" si="9"/>
        <v>0</v>
      </c>
    </row>
    <row r="280" spans="1:6" x14ac:dyDescent="0.2">
      <c r="A280" s="336">
        <v>501</v>
      </c>
      <c r="B280" s="336" t="s">
        <v>1429</v>
      </c>
      <c r="C280" s="336" t="s">
        <v>1430</v>
      </c>
      <c r="D280" s="336">
        <v>27560</v>
      </c>
      <c r="E280" s="336" t="s">
        <v>61</v>
      </c>
      <c r="F280" s="286" t="b">
        <f t="shared" si="9"/>
        <v>0</v>
      </c>
    </row>
    <row r="281" spans="1:6" x14ac:dyDescent="0.2">
      <c r="A281" s="336">
        <v>507</v>
      </c>
      <c r="B281" s="336" t="s">
        <v>1433</v>
      </c>
      <c r="C281" s="336" t="s">
        <v>1434</v>
      </c>
      <c r="D281" s="336">
        <v>22100</v>
      </c>
      <c r="E281" s="336" t="s">
        <v>61</v>
      </c>
      <c r="F281" s="286" t="b">
        <f t="shared" si="9"/>
        <v>0</v>
      </c>
    </row>
    <row r="282" spans="1:6" x14ac:dyDescent="0.2">
      <c r="A282" s="335">
        <v>509</v>
      </c>
      <c r="B282" s="335" t="s">
        <v>1435</v>
      </c>
      <c r="C282" s="335" t="s">
        <v>1436</v>
      </c>
      <c r="D282" s="335">
        <v>22915</v>
      </c>
      <c r="E282" s="335" t="s">
        <v>61</v>
      </c>
      <c r="F282" s="286" t="b">
        <f t="shared" si="9"/>
        <v>0</v>
      </c>
    </row>
    <row r="283" spans="1:6" x14ac:dyDescent="0.2">
      <c r="A283" s="336">
        <v>511</v>
      </c>
      <c r="B283" s="336" t="s">
        <v>1437</v>
      </c>
      <c r="C283" s="336" t="s">
        <v>1438</v>
      </c>
      <c r="D283" s="336">
        <v>20615</v>
      </c>
      <c r="E283" s="336" t="s">
        <v>61</v>
      </c>
      <c r="F283" s="286" t="b">
        <f t="shared" si="9"/>
        <v>0</v>
      </c>
    </row>
    <row r="284" spans="1:6" x14ac:dyDescent="0.2">
      <c r="A284" s="336">
        <v>721</v>
      </c>
      <c r="B284" s="336" t="s">
        <v>1511</v>
      </c>
      <c r="C284" s="336" t="s">
        <v>1511</v>
      </c>
      <c r="D284" s="336">
        <v>28570</v>
      </c>
      <c r="E284" s="336" t="s">
        <v>61</v>
      </c>
      <c r="F284" s="286" t="b">
        <f t="shared" si="9"/>
        <v>0</v>
      </c>
    </row>
    <row r="285" spans="1:6" x14ac:dyDescent="0.2">
      <c r="A285" s="335">
        <v>515</v>
      </c>
      <c r="B285" s="335" t="s">
        <v>1439</v>
      </c>
      <c r="C285" s="335" t="s">
        <v>1441</v>
      </c>
      <c r="D285" s="335">
        <v>22005</v>
      </c>
      <c r="E285" s="335" t="s">
        <v>61</v>
      </c>
      <c r="F285" s="286" t="b">
        <f t="shared" si="9"/>
        <v>0</v>
      </c>
    </row>
    <row r="286" spans="1:6" x14ac:dyDescent="0.2">
      <c r="A286" s="335">
        <v>371</v>
      </c>
      <c r="B286" s="335" t="s">
        <v>1286</v>
      </c>
      <c r="C286" s="335" t="s">
        <v>1291</v>
      </c>
      <c r="D286" s="335">
        <v>21850</v>
      </c>
      <c r="E286" s="335" t="s">
        <v>61</v>
      </c>
      <c r="F286" s="286" t="b">
        <f t="shared" si="9"/>
        <v>0</v>
      </c>
    </row>
    <row r="287" spans="1:6" x14ac:dyDescent="0.2">
      <c r="A287" s="335">
        <v>717</v>
      </c>
      <c r="B287" s="335" t="s">
        <v>1509</v>
      </c>
      <c r="C287" s="335" t="s">
        <v>1509</v>
      </c>
      <c r="D287" s="335">
        <v>28515</v>
      </c>
      <c r="E287" s="335" t="s">
        <v>61</v>
      </c>
      <c r="F287" s="286" t="b">
        <f t="shared" si="9"/>
        <v>0</v>
      </c>
    </row>
    <row r="288" spans="1:6" x14ac:dyDescent="0.2">
      <c r="A288" s="335">
        <v>276</v>
      </c>
      <c r="B288" s="335" t="s">
        <v>1152</v>
      </c>
      <c r="C288" s="335" t="s">
        <v>1153</v>
      </c>
      <c r="D288" s="335">
        <v>22010</v>
      </c>
      <c r="E288" s="335" t="s">
        <v>61</v>
      </c>
      <c r="F288" s="286" t="b">
        <f t="shared" si="9"/>
        <v>0</v>
      </c>
    </row>
    <row r="289" spans="1:6" x14ac:dyDescent="0.2">
      <c r="A289" s="335">
        <v>63</v>
      </c>
      <c r="B289" s="335" t="s">
        <v>950</v>
      </c>
      <c r="C289" s="335" t="s">
        <v>1541</v>
      </c>
      <c r="D289" s="335">
        <v>20555</v>
      </c>
      <c r="E289" s="335" t="s">
        <v>61</v>
      </c>
      <c r="F289" s="286" t="b">
        <f t="shared" si="9"/>
        <v>0</v>
      </c>
    </row>
    <row r="290" spans="1:6" x14ac:dyDescent="0.2">
      <c r="A290" s="336">
        <v>279</v>
      </c>
      <c r="B290" s="336" t="s">
        <v>1159</v>
      </c>
      <c r="C290" s="336" t="s">
        <v>1161</v>
      </c>
      <c r="D290" s="336">
        <v>21170</v>
      </c>
      <c r="E290" s="336" t="s">
        <v>61</v>
      </c>
      <c r="F290" s="286" t="b">
        <f t="shared" si="9"/>
        <v>0</v>
      </c>
    </row>
    <row r="291" spans="1:6" x14ac:dyDescent="0.2">
      <c r="A291" s="335">
        <v>112</v>
      </c>
      <c r="B291" s="335" t="s">
        <v>978</v>
      </c>
      <c r="C291" s="335" t="s">
        <v>989</v>
      </c>
      <c r="D291" s="335">
        <v>22330</v>
      </c>
      <c r="E291" s="335" t="s">
        <v>61</v>
      </c>
      <c r="F291" s="286" t="b">
        <f t="shared" si="9"/>
        <v>0</v>
      </c>
    </row>
    <row r="292" spans="1:6" x14ac:dyDescent="0.2">
      <c r="A292" s="335">
        <v>731</v>
      </c>
      <c r="B292" s="335" t="s">
        <v>1520</v>
      </c>
      <c r="C292" s="335" t="s">
        <v>1521</v>
      </c>
      <c r="D292" s="335">
        <v>29055</v>
      </c>
      <c r="E292" s="335" t="s">
        <v>61</v>
      </c>
      <c r="F292" s="286" t="b">
        <f t="shared" si="9"/>
        <v>0</v>
      </c>
    </row>
    <row r="293" spans="1:6" x14ac:dyDescent="0.2">
      <c r="A293" s="336">
        <v>741</v>
      </c>
      <c r="B293" s="336" t="s">
        <v>1529</v>
      </c>
      <c r="C293" s="336" t="s">
        <v>1531</v>
      </c>
      <c r="D293" s="336">
        <v>29150</v>
      </c>
      <c r="E293" s="336" t="s">
        <v>61</v>
      </c>
      <c r="F293" s="286" t="b">
        <f t="shared" si="9"/>
        <v>0</v>
      </c>
    </row>
    <row r="294" spans="1:6" x14ac:dyDescent="0.2">
      <c r="A294" s="335">
        <v>531</v>
      </c>
      <c r="B294" s="335" t="s">
        <v>1444</v>
      </c>
      <c r="C294" s="335" t="s">
        <v>1445</v>
      </c>
      <c r="D294" s="335">
        <v>22380</v>
      </c>
      <c r="E294" s="335" t="s">
        <v>61</v>
      </c>
      <c r="F294" s="286" t="b">
        <f t="shared" si="9"/>
        <v>0</v>
      </c>
    </row>
    <row r="295" spans="1:6" x14ac:dyDescent="0.2">
      <c r="A295" s="335">
        <v>351</v>
      </c>
      <c r="B295" s="335" t="s">
        <v>1246</v>
      </c>
      <c r="C295" s="335" t="s">
        <v>1251</v>
      </c>
      <c r="D295" s="335">
        <v>21035</v>
      </c>
      <c r="E295" s="335" t="s">
        <v>61</v>
      </c>
      <c r="F295" s="286" t="b">
        <f t="shared" si="9"/>
        <v>0</v>
      </c>
    </row>
    <row r="296" spans="1:6" x14ac:dyDescent="0.2">
      <c r="A296" s="336">
        <v>427</v>
      </c>
      <c r="B296" s="336" t="s">
        <v>1347</v>
      </c>
      <c r="C296" s="336" t="s">
        <v>1350</v>
      </c>
      <c r="D296" s="336">
        <v>26925</v>
      </c>
      <c r="E296" s="336" t="s">
        <v>61</v>
      </c>
      <c r="F296" s="286" t="b">
        <f t="shared" si="9"/>
        <v>0</v>
      </c>
    </row>
    <row r="297" spans="1:6" x14ac:dyDescent="0.2">
      <c r="A297" s="336">
        <v>363</v>
      </c>
      <c r="B297" s="336" t="s">
        <v>1274</v>
      </c>
      <c r="C297" s="336" t="s">
        <v>1277</v>
      </c>
      <c r="D297" s="336">
        <v>21725</v>
      </c>
      <c r="E297" s="336" t="s">
        <v>61</v>
      </c>
      <c r="F297" s="286" t="b">
        <f t="shared" si="9"/>
        <v>0</v>
      </c>
    </row>
    <row r="298" spans="1:6" x14ac:dyDescent="0.2">
      <c r="A298" s="335">
        <v>208</v>
      </c>
      <c r="B298" s="335" t="s">
        <v>1074</v>
      </c>
      <c r="C298" s="335" t="s">
        <v>1078</v>
      </c>
      <c r="D298" s="335">
        <v>22410</v>
      </c>
      <c r="E298" s="335" t="s">
        <v>61</v>
      </c>
      <c r="F298" s="286" t="b">
        <f t="shared" si="9"/>
        <v>0</v>
      </c>
    </row>
    <row r="299" spans="1:6" x14ac:dyDescent="0.2">
      <c r="A299" s="336">
        <v>582</v>
      </c>
      <c r="B299" s="336" t="s">
        <v>1488</v>
      </c>
      <c r="C299" s="336" t="s">
        <v>1490</v>
      </c>
      <c r="D299" s="336">
        <v>22945</v>
      </c>
      <c r="E299" s="336" t="s">
        <v>61</v>
      </c>
      <c r="F299" s="286" t="b">
        <f t="shared" si="9"/>
        <v>0</v>
      </c>
    </row>
    <row r="300" spans="1:6" x14ac:dyDescent="0.2">
      <c r="A300" s="335">
        <v>539</v>
      </c>
      <c r="B300" s="335" t="s">
        <v>1454</v>
      </c>
      <c r="C300" s="335" t="s">
        <v>1455</v>
      </c>
      <c r="D300" s="335">
        <v>20180</v>
      </c>
      <c r="E300" s="335" t="s">
        <v>61</v>
      </c>
      <c r="F300" s="286" t="b">
        <f t="shared" si="9"/>
        <v>0</v>
      </c>
    </row>
    <row r="301" spans="1:6" x14ac:dyDescent="0.2">
      <c r="A301" s="335">
        <v>175</v>
      </c>
      <c r="B301" s="335" t="s">
        <v>1047</v>
      </c>
      <c r="C301" s="335" t="s">
        <v>1048</v>
      </c>
      <c r="D301" s="335">
        <v>27980</v>
      </c>
      <c r="E301" s="335" t="s">
        <v>61</v>
      </c>
      <c r="F301" s="286" t="b">
        <f t="shared" si="9"/>
        <v>0</v>
      </c>
    </row>
    <row r="302" spans="1:6" x14ac:dyDescent="0.2">
      <c r="A302" s="335">
        <v>174</v>
      </c>
      <c r="B302" s="335" t="s">
        <v>1035</v>
      </c>
      <c r="C302" s="335" t="s">
        <v>1038</v>
      </c>
      <c r="D302" s="335">
        <v>22970</v>
      </c>
      <c r="E302" s="335" t="s">
        <v>61</v>
      </c>
      <c r="F302" s="286" t="b">
        <f t="shared" si="9"/>
        <v>0</v>
      </c>
    </row>
    <row r="303" spans="1:6" x14ac:dyDescent="0.2">
      <c r="A303" s="335">
        <v>727</v>
      </c>
      <c r="B303" s="335" t="s">
        <v>1516</v>
      </c>
      <c r="C303" s="335" t="s">
        <v>1517</v>
      </c>
      <c r="D303" s="335">
        <v>28650</v>
      </c>
      <c r="E303" s="335" t="s">
        <v>61</v>
      </c>
      <c r="F303" s="286" t="b">
        <f t="shared" si="9"/>
        <v>0</v>
      </c>
    </row>
    <row r="304" spans="1:6" x14ac:dyDescent="0.2">
      <c r="A304" s="336">
        <v>174</v>
      </c>
      <c r="B304" s="336" t="s">
        <v>1035</v>
      </c>
      <c r="C304" s="336" t="s">
        <v>1046</v>
      </c>
      <c r="D304" s="336">
        <v>23015</v>
      </c>
      <c r="E304" s="336" t="s">
        <v>61</v>
      </c>
      <c r="F304" s="286" t="b">
        <f t="shared" si="9"/>
        <v>0</v>
      </c>
    </row>
    <row r="305" spans="1:6" x14ac:dyDescent="0.2">
      <c r="A305" s="335">
        <v>174</v>
      </c>
      <c r="B305" s="335" t="s">
        <v>1035</v>
      </c>
      <c r="C305" s="335" t="s">
        <v>1045</v>
      </c>
      <c r="D305" s="335">
        <v>23010</v>
      </c>
      <c r="E305" s="335" t="s">
        <v>61</v>
      </c>
      <c r="F305" s="286" t="b">
        <f t="shared" si="9"/>
        <v>0</v>
      </c>
    </row>
    <row r="306" spans="1:6" x14ac:dyDescent="0.2">
      <c r="A306" s="335">
        <v>549</v>
      </c>
      <c r="B306" s="335" t="s">
        <v>1458</v>
      </c>
      <c r="C306" s="335" t="s">
        <v>1459</v>
      </c>
      <c r="D306" s="335">
        <v>20900</v>
      </c>
      <c r="E306" s="335" t="s">
        <v>61</v>
      </c>
      <c r="F306" s="286" t="b">
        <f t="shared" si="9"/>
        <v>0</v>
      </c>
    </row>
    <row r="307" spans="1:6" x14ac:dyDescent="0.2">
      <c r="A307" s="336">
        <v>551</v>
      </c>
      <c r="B307" s="336" t="s">
        <v>1460</v>
      </c>
      <c r="C307" s="336" t="s">
        <v>1461</v>
      </c>
      <c r="D307" s="336">
        <v>20985</v>
      </c>
      <c r="E307" s="336" t="s">
        <v>61</v>
      </c>
      <c r="F307" s="286" t="b">
        <f t="shared" si="9"/>
        <v>0</v>
      </c>
    </row>
    <row r="308" spans="1:6" x14ac:dyDescent="0.2">
      <c r="A308" s="335">
        <v>553</v>
      </c>
      <c r="B308" s="335" t="s">
        <v>1462</v>
      </c>
      <c r="C308" s="335" t="s">
        <v>1463</v>
      </c>
      <c r="D308" s="335">
        <v>22385</v>
      </c>
      <c r="E308" s="335" t="s">
        <v>61</v>
      </c>
      <c r="F308" s="286" t="b">
        <f t="shared" si="9"/>
        <v>0</v>
      </c>
    </row>
    <row r="309" spans="1:6" x14ac:dyDescent="0.2">
      <c r="A309" s="336">
        <v>352</v>
      </c>
      <c r="B309" s="336" t="s">
        <v>1253</v>
      </c>
      <c r="C309" s="336" t="s">
        <v>1260</v>
      </c>
      <c r="D309" s="336">
        <v>22205</v>
      </c>
      <c r="E309" s="336" t="s">
        <v>61</v>
      </c>
      <c r="F309" s="286" t="b">
        <f t="shared" si="9"/>
        <v>0</v>
      </c>
    </row>
    <row r="310" spans="1:6" x14ac:dyDescent="0.2">
      <c r="A310" s="335">
        <v>335</v>
      </c>
      <c r="B310" s="335" t="s">
        <v>906</v>
      </c>
      <c r="C310" s="335" t="s">
        <v>1228</v>
      </c>
      <c r="D310" s="335">
        <v>21635</v>
      </c>
      <c r="E310" s="335" t="s">
        <v>61</v>
      </c>
      <c r="F310" s="286" t="b">
        <f t="shared" si="9"/>
        <v>0</v>
      </c>
    </row>
    <row r="311" spans="1:6" x14ac:dyDescent="0.2">
      <c r="A311" s="336">
        <v>235</v>
      </c>
      <c r="B311" s="336" t="s">
        <v>1097</v>
      </c>
      <c r="C311" s="336" t="s">
        <v>1098</v>
      </c>
      <c r="D311" s="336">
        <v>21155</v>
      </c>
      <c r="E311" s="336" t="s">
        <v>61</v>
      </c>
      <c r="F311" s="286" t="b">
        <f t="shared" si="9"/>
        <v>0</v>
      </c>
    </row>
    <row r="312" spans="1:6" x14ac:dyDescent="0.2">
      <c r="A312" s="335">
        <v>559</v>
      </c>
      <c r="B312" s="335" t="s">
        <v>1467</v>
      </c>
      <c r="C312" s="335" t="s">
        <v>1468</v>
      </c>
      <c r="D312" s="335">
        <v>22390</v>
      </c>
      <c r="E312" s="335" t="s">
        <v>61</v>
      </c>
      <c r="F312" s="286" t="b">
        <f t="shared" si="9"/>
        <v>0</v>
      </c>
    </row>
    <row r="313" spans="1:6" x14ac:dyDescent="0.2">
      <c r="A313" s="336">
        <v>563</v>
      </c>
      <c r="B313" s="336" t="s">
        <v>1469</v>
      </c>
      <c r="C313" s="336" t="s">
        <v>1470</v>
      </c>
      <c r="D313" s="336">
        <v>21230</v>
      </c>
      <c r="E313" s="336" t="s">
        <v>61</v>
      </c>
      <c r="F313" s="286" t="b">
        <f t="shared" si="9"/>
        <v>0</v>
      </c>
    </row>
    <row r="314" spans="1:6" x14ac:dyDescent="0.2">
      <c r="A314" s="336">
        <v>335</v>
      </c>
      <c r="B314" s="336" t="s">
        <v>906</v>
      </c>
      <c r="C314" s="336" t="s">
        <v>1613</v>
      </c>
      <c r="D314" s="336">
        <v>21515</v>
      </c>
      <c r="E314" s="336" t="s">
        <v>61</v>
      </c>
      <c r="F314" s="286" t="b">
        <f t="shared" si="9"/>
        <v>0</v>
      </c>
    </row>
    <row r="315" spans="1:6" x14ac:dyDescent="0.2">
      <c r="A315" s="335">
        <v>279</v>
      </c>
      <c r="B315" s="335" t="s">
        <v>1159</v>
      </c>
      <c r="C315" s="335" t="s">
        <v>1165</v>
      </c>
      <c r="D315" s="335">
        <v>21200</v>
      </c>
      <c r="E315" s="335" t="s">
        <v>61</v>
      </c>
      <c r="F315" s="286" t="b">
        <f t="shared" si="9"/>
        <v>0</v>
      </c>
    </row>
    <row r="316" spans="1:6" x14ac:dyDescent="0.2">
      <c r="A316" s="336">
        <v>568</v>
      </c>
      <c r="B316" s="336" t="s">
        <v>1471</v>
      </c>
      <c r="C316" s="336" t="s">
        <v>1472</v>
      </c>
      <c r="D316" s="336">
        <v>26930</v>
      </c>
      <c r="E316" s="336" t="s">
        <v>61</v>
      </c>
      <c r="F316" s="286" t="b">
        <f t="shared" si="9"/>
        <v>0</v>
      </c>
    </row>
    <row r="317" spans="1:6" x14ac:dyDescent="0.2">
      <c r="A317" s="336">
        <v>461</v>
      </c>
      <c r="B317" s="336" t="s">
        <v>1379</v>
      </c>
      <c r="C317" s="336" t="s">
        <v>1384</v>
      </c>
      <c r="D317" s="336">
        <v>22690</v>
      </c>
      <c r="E317" s="336" t="s">
        <v>61</v>
      </c>
      <c r="F317" s="286" t="b">
        <f t="shared" si="9"/>
        <v>0</v>
      </c>
    </row>
    <row r="318" spans="1:6" x14ac:dyDescent="0.2">
      <c r="A318" s="336">
        <v>473</v>
      </c>
      <c r="B318" s="336" t="s">
        <v>1398</v>
      </c>
      <c r="C318" s="336" t="s">
        <v>1400</v>
      </c>
      <c r="D318" s="336">
        <v>22860</v>
      </c>
      <c r="E318" s="336" t="s">
        <v>61</v>
      </c>
      <c r="F318" s="286" t="b">
        <f t="shared" si="9"/>
        <v>0</v>
      </c>
    </row>
    <row r="319" spans="1:6" x14ac:dyDescent="0.2">
      <c r="A319" s="335">
        <v>473</v>
      </c>
      <c r="B319" s="335" t="s">
        <v>1398</v>
      </c>
      <c r="C319" s="335" t="s">
        <v>1401</v>
      </c>
      <c r="D319" s="335">
        <v>22865</v>
      </c>
      <c r="E319" s="335" t="s">
        <v>61</v>
      </c>
      <c r="F319" s="286" t="b">
        <f t="shared" si="9"/>
        <v>0</v>
      </c>
    </row>
    <row r="320" spans="1:6" x14ac:dyDescent="0.2">
      <c r="A320" s="335">
        <v>573</v>
      </c>
      <c r="B320" s="335" t="s">
        <v>1480</v>
      </c>
      <c r="C320" s="335" t="s">
        <v>1546</v>
      </c>
      <c r="D320" s="335">
        <v>21735</v>
      </c>
      <c r="E320" s="335" t="s">
        <v>61</v>
      </c>
      <c r="F320" s="286" t="b">
        <f t="shared" si="9"/>
        <v>0</v>
      </c>
    </row>
    <row r="321" spans="1:6" x14ac:dyDescent="0.2">
      <c r="A321" s="335">
        <v>712</v>
      </c>
      <c r="B321" s="335" t="s">
        <v>1508</v>
      </c>
      <c r="C321" s="335" t="s">
        <v>1508</v>
      </c>
      <c r="D321" s="335">
        <v>29193</v>
      </c>
      <c r="E321" s="335" t="s">
        <v>61</v>
      </c>
      <c r="F321" s="286" t="b">
        <f t="shared" si="9"/>
        <v>0</v>
      </c>
    </row>
    <row r="322" spans="1:6" x14ac:dyDescent="0.2">
      <c r="A322" s="335">
        <v>575</v>
      </c>
      <c r="B322" s="335" t="s">
        <v>1481</v>
      </c>
      <c r="C322" s="335" t="s">
        <v>1484</v>
      </c>
      <c r="D322" s="335">
        <v>21135</v>
      </c>
      <c r="E322" s="335" t="s">
        <v>61</v>
      </c>
      <c r="F322" s="286" t="b">
        <f t="shared" si="9"/>
        <v>0</v>
      </c>
    </row>
    <row r="323" spans="1:6" x14ac:dyDescent="0.2">
      <c r="A323" s="335">
        <v>285</v>
      </c>
      <c r="B323" s="335" t="s">
        <v>1168</v>
      </c>
      <c r="C323" s="335" t="s">
        <v>1172</v>
      </c>
      <c r="D323" s="335">
        <v>21285</v>
      </c>
      <c r="E323" s="335" t="s">
        <v>61</v>
      </c>
      <c r="F323" s="286" t="b">
        <f t="shared" si="9"/>
        <v>0</v>
      </c>
    </row>
    <row r="324" spans="1:6" x14ac:dyDescent="0.2">
      <c r="A324" s="335">
        <v>141</v>
      </c>
      <c r="B324" s="335" t="s">
        <v>1009</v>
      </c>
      <c r="C324" s="335" t="s">
        <v>1014</v>
      </c>
      <c r="D324" s="335">
        <v>20460</v>
      </c>
      <c r="E324" s="335" t="s">
        <v>61</v>
      </c>
      <c r="F324" s="286" t="b">
        <f t="shared" si="9"/>
        <v>0</v>
      </c>
    </row>
    <row r="325" spans="1:6" x14ac:dyDescent="0.2">
      <c r="A325" s="335">
        <v>238</v>
      </c>
      <c r="B325" s="335" t="s">
        <v>1099</v>
      </c>
      <c r="C325" s="335" t="s">
        <v>1100</v>
      </c>
      <c r="D325" s="335">
        <v>20905</v>
      </c>
      <c r="E325" s="335" t="s">
        <v>61</v>
      </c>
      <c r="F325" s="286" t="b">
        <f t="shared" ref="F325" si="10">C325=C324</f>
        <v>0</v>
      </c>
    </row>
    <row r="326" spans="1:6" x14ac:dyDescent="0.2">
      <c r="A326" s="334"/>
      <c r="B326" s="334"/>
      <c r="C326" s="334"/>
      <c r="D326" s="334"/>
      <c r="E326" s="334"/>
      <c r="F326" s="286"/>
    </row>
    <row r="327" spans="1:6" x14ac:dyDescent="0.2">
      <c r="A327" s="334"/>
      <c r="B327" s="334"/>
      <c r="C327" s="334"/>
      <c r="D327" s="334"/>
      <c r="E327" s="334"/>
      <c r="F327" s="286"/>
    </row>
    <row r="328" spans="1:6" x14ac:dyDescent="0.2">
      <c r="A328" s="334"/>
      <c r="B328" s="334"/>
      <c r="C328" s="334"/>
      <c r="D328" s="334"/>
      <c r="E328" s="334"/>
      <c r="F328" s="286"/>
    </row>
    <row r="329" spans="1:6" x14ac:dyDescent="0.2">
      <c r="A329" s="334"/>
      <c r="B329" s="334"/>
      <c r="C329" s="334"/>
      <c r="D329" s="334"/>
      <c r="E329" s="334"/>
      <c r="F329" s="286"/>
    </row>
    <row r="330" spans="1:6" x14ac:dyDescent="0.2">
      <c r="A330" s="334"/>
      <c r="B330" s="334"/>
      <c r="C330" s="334"/>
      <c r="D330" s="334"/>
      <c r="E330" s="334"/>
      <c r="F330" s="286"/>
    </row>
    <row r="331" spans="1:6" x14ac:dyDescent="0.2">
      <c r="A331" s="334"/>
      <c r="B331" s="334"/>
      <c r="C331" s="334"/>
      <c r="D331" s="334"/>
      <c r="E331" s="334"/>
      <c r="F331" s="286"/>
    </row>
    <row r="332" spans="1:6" x14ac:dyDescent="0.2">
      <c r="A332" s="334"/>
      <c r="B332" s="334"/>
      <c r="C332" s="334"/>
      <c r="D332" s="334"/>
      <c r="E332" s="334"/>
      <c r="F332" s="286"/>
    </row>
    <row r="333" spans="1:6" x14ac:dyDescent="0.2">
      <c r="A333" s="334"/>
      <c r="B333" s="334"/>
      <c r="C333" s="334"/>
      <c r="D333" s="334"/>
      <c r="E333" s="334"/>
      <c r="F333" s="286"/>
    </row>
    <row r="334" spans="1:6" x14ac:dyDescent="0.2">
      <c r="A334" s="334"/>
      <c r="B334" s="334"/>
      <c r="C334" s="334"/>
      <c r="D334" s="334"/>
      <c r="E334" s="334"/>
      <c r="F334" s="286"/>
    </row>
    <row r="335" spans="1:6" x14ac:dyDescent="0.2">
      <c r="A335" s="334"/>
      <c r="B335" s="334"/>
      <c r="C335" s="334"/>
      <c r="D335" s="334"/>
      <c r="E335" s="334"/>
      <c r="F335" s="286"/>
    </row>
    <row r="336" spans="1:6" x14ac:dyDescent="0.2">
      <c r="A336" s="334"/>
      <c r="B336" s="334"/>
      <c r="C336" s="334"/>
      <c r="D336" s="334"/>
      <c r="E336" s="334"/>
      <c r="F336" s="286"/>
    </row>
    <row r="337" spans="1:6" x14ac:dyDescent="0.2">
      <c r="A337" s="334"/>
      <c r="B337" s="334"/>
      <c r="C337" s="334"/>
      <c r="D337" s="334"/>
      <c r="E337" s="334"/>
      <c r="F337" s="286"/>
    </row>
    <row r="338" spans="1:6" x14ac:dyDescent="0.2">
      <c r="A338" s="334"/>
      <c r="B338" s="334"/>
      <c r="C338" s="334"/>
      <c r="D338" s="334"/>
      <c r="E338" s="334"/>
      <c r="F338" s="286"/>
    </row>
    <row r="339" spans="1:6" x14ac:dyDescent="0.2">
      <c r="A339" s="334"/>
      <c r="B339" s="334"/>
      <c r="C339" s="334"/>
      <c r="D339" s="334"/>
      <c r="E339" s="334"/>
      <c r="F339" s="286"/>
    </row>
    <row r="340" spans="1:6" x14ac:dyDescent="0.2">
      <c r="A340" s="334"/>
      <c r="B340" s="334"/>
      <c r="C340" s="334"/>
      <c r="D340" s="334"/>
      <c r="E340" s="334"/>
      <c r="F340" s="286"/>
    </row>
    <row r="341" spans="1:6" x14ac:dyDescent="0.2">
      <c r="A341" s="334"/>
      <c r="B341" s="334"/>
      <c r="C341" s="334"/>
      <c r="D341" s="334"/>
      <c r="E341" s="334"/>
      <c r="F341" s="286"/>
    </row>
    <row r="342" spans="1:6" x14ac:dyDescent="0.2">
      <c r="A342" s="334"/>
      <c r="B342" s="334"/>
      <c r="C342" s="334"/>
      <c r="D342" s="334"/>
      <c r="E342" s="334"/>
      <c r="F342" s="286"/>
    </row>
    <row r="343" spans="1:6" x14ac:dyDescent="0.2">
      <c r="A343" s="334"/>
      <c r="B343" s="334"/>
      <c r="C343" s="334"/>
      <c r="D343" s="334"/>
      <c r="E343" s="334"/>
      <c r="F343" s="286"/>
    </row>
    <row r="344" spans="1:6" x14ac:dyDescent="0.2">
      <c r="A344" s="334"/>
      <c r="B344" s="334"/>
      <c r="C344" s="334"/>
      <c r="D344" s="334"/>
      <c r="E344" s="334"/>
      <c r="F344" s="286"/>
    </row>
    <row r="345" spans="1:6" x14ac:dyDescent="0.2">
      <c r="A345" s="334"/>
      <c r="B345" s="334"/>
      <c r="C345" s="334"/>
      <c r="D345" s="334"/>
      <c r="E345" s="334"/>
      <c r="F345" s="286"/>
    </row>
    <row r="346" spans="1:6" x14ac:dyDescent="0.2">
      <c r="A346" s="334"/>
      <c r="B346" s="334"/>
      <c r="C346" s="334"/>
      <c r="D346" s="334"/>
      <c r="E346" s="334"/>
      <c r="F346" s="286"/>
    </row>
    <row r="347" spans="1:6" x14ac:dyDescent="0.2">
      <c r="A347" s="334"/>
      <c r="B347" s="334"/>
      <c r="C347" s="334"/>
      <c r="D347" s="334"/>
      <c r="E347" s="334"/>
      <c r="F347" s="286"/>
    </row>
    <row r="348" spans="1:6" x14ac:dyDescent="0.2">
      <c r="A348" s="334"/>
      <c r="B348" s="334"/>
      <c r="C348" s="334"/>
      <c r="D348" s="334"/>
      <c r="E348" s="334"/>
      <c r="F348" s="286"/>
    </row>
    <row r="349" spans="1:6" x14ac:dyDescent="0.2">
      <c r="A349" s="334"/>
      <c r="B349" s="334"/>
      <c r="C349" s="334"/>
      <c r="D349" s="334"/>
      <c r="E349" s="334"/>
      <c r="F349" s="286"/>
    </row>
    <row r="350" spans="1:6" x14ac:dyDescent="0.2">
      <c r="A350" s="334"/>
      <c r="B350" s="334"/>
      <c r="C350" s="334"/>
      <c r="D350" s="334"/>
      <c r="E350" s="334"/>
      <c r="F350" s="286"/>
    </row>
    <row r="351" spans="1:6" x14ac:dyDescent="0.2">
      <c r="A351" s="334"/>
      <c r="B351" s="334"/>
      <c r="C351" s="334"/>
      <c r="D351" s="334"/>
      <c r="E351" s="334"/>
      <c r="F351" s="286"/>
    </row>
    <row r="352" spans="1:6" x14ac:dyDescent="0.2">
      <c r="A352" s="334"/>
      <c r="B352" s="334"/>
      <c r="C352" s="334"/>
      <c r="D352" s="334"/>
      <c r="E352" s="334"/>
      <c r="F352" s="286"/>
    </row>
    <row r="353" spans="1:6" x14ac:dyDescent="0.2">
      <c r="A353" s="334"/>
      <c r="B353" s="334"/>
      <c r="C353" s="334"/>
      <c r="D353" s="334"/>
      <c r="E353" s="334"/>
      <c r="F353" s="286"/>
    </row>
    <row r="354" spans="1:6" x14ac:dyDescent="0.2">
      <c r="A354" s="334"/>
      <c r="B354" s="334"/>
      <c r="C354" s="334"/>
      <c r="D354" s="334"/>
      <c r="E354" s="334"/>
      <c r="F354" s="286"/>
    </row>
    <row r="355" spans="1:6" x14ac:dyDescent="0.2">
      <c r="A355" s="334"/>
      <c r="B355" s="334"/>
      <c r="C355" s="334"/>
      <c r="D355" s="334"/>
      <c r="E355" s="334"/>
      <c r="F355" s="286"/>
    </row>
    <row r="356" spans="1:6" x14ac:dyDescent="0.2">
      <c r="A356" s="334"/>
      <c r="B356" s="334"/>
      <c r="C356" s="334"/>
      <c r="D356" s="334"/>
      <c r="E356" s="334"/>
      <c r="F356" s="286"/>
    </row>
    <row r="357" spans="1:6" x14ac:dyDescent="0.2">
      <c r="A357" s="334"/>
      <c r="B357" s="334"/>
      <c r="C357" s="334"/>
      <c r="D357" s="334"/>
      <c r="E357" s="334"/>
      <c r="F357" s="286"/>
    </row>
    <row r="358" spans="1:6" x14ac:dyDescent="0.2">
      <c r="A358" s="334"/>
      <c r="B358" s="334"/>
      <c r="C358" s="334"/>
      <c r="D358" s="334"/>
      <c r="E358" s="334"/>
      <c r="F358" s="286"/>
    </row>
    <row r="359" spans="1:6" x14ac:dyDescent="0.2">
      <c r="A359" s="334"/>
      <c r="B359" s="334"/>
      <c r="C359" s="334"/>
      <c r="D359" s="334"/>
      <c r="E359" s="334"/>
      <c r="F359" s="286"/>
    </row>
    <row r="360" spans="1:6" x14ac:dyDescent="0.2">
      <c r="A360" s="334"/>
      <c r="B360" s="334"/>
      <c r="C360" s="334"/>
      <c r="D360" s="334"/>
      <c r="E360" s="334"/>
      <c r="F360" s="286"/>
    </row>
    <row r="361" spans="1:6" x14ac:dyDescent="0.2">
      <c r="A361" s="334"/>
      <c r="B361" s="334"/>
      <c r="C361" s="334"/>
      <c r="D361" s="334"/>
      <c r="E361" s="334"/>
      <c r="F361" s="286"/>
    </row>
    <row r="362" spans="1:6" x14ac:dyDescent="0.2">
      <c r="A362" s="334"/>
      <c r="B362" s="334"/>
      <c r="C362" s="334"/>
      <c r="D362" s="334"/>
      <c r="E362" s="334"/>
      <c r="F362" s="286"/>
    </row>
    <row r="363" spans="1:6" x14ac:dyDescent="0.2">
      <c r="A363" s="334"/>
      <c r="B363" s="334"/>
      <c r="C363" s="334"/>
      <c r="D363" s="334"/>
      <c r="E363" s="334"/>
      <c r="F363" s="286"/>
    </row>
    <row r="364" spans="1:6" x14ac:dyDescent="0.2">
      <c r="A364" s="334"/>
      <c r="B364" s="334"/>
      <c r="C364" s="334"/>
      <c r="D364" s="334"/>
      <c r="E364" s="334"/>
      <c r="F364" s="286"/>
    </row>
    <row r="365" spans="1:6" x14ac:dyDescent="0.2">
      <c r="A365" s="334"/>
      <c r="B365" s="334"/>
      <c r="C365" s="334"/>
      <c r="D365" s="334"/>
      <c r="E365" s="334"/>
      <c r="F365" s="286"/>
    </row>
    <row r="366" spans="1:6" x14ac:dyDescent="0.2">
      <c r="A366" s="334"/>
      <c r="B366" s="334"/>
      <c r="C366" s="334"/>
      <c r="D366" s="334"/>
      <c r="E366" s="334"/>
      <c r="F366" s="286"/>
    </row>
    <row r="367" spans="1:6" x14ac:dyDescent="0.2">
      <c r="A367" s="334"/>
      <c r="B367" s="334"/>
      <c r="C367" s="334"/>
      <c r="D367" s="334"/>
      <c r="E367" s="334"/>
      <c r="F367" s="286"/>
    </row>
    <row r="368" spans="1:6" x14ac:dyDescent="0.2">
      <c r="A368" s="334"/>
      <c r="B368" s="334"/>
      <c r="C368" s="334"/>
      <c r="D368" s="334"/>
      <c r="E368" s="334"/>
      <c r="F368" s="286"/>
    </row>
    <row r="369" spans="1:6" x14ac:dyDescent="0.2">
      <c r="A369" s="334"/>
      <c r="B369" s="334"/>
      <c r="C369" s="334"/>
      <c r="D369" s="334"/>
      <c r="E369" s="334"/>
      <c r="F369" s="286"/>
    </row>
    <row r="370" spans="1:6" x14ac:dyDescent="0.2">
      <c r="A370" s="334"/>
      <c r="B370" s="334"/>
      <c r="C370" s="334"/>
      <c r="D370" s="334"/>
      <c r="E370" s="334"/>
      <c r="F370" s="286"/>
    </row>
    <row r="371" spans="1:6" x14ac:dyDescent="0.2">
      <c r="A371" s="334"/>
      <c r="B371" s="334"/>
      <c r="C371" s="334"/>
      <c r="D371" s="334"/>
      <c r="E371" s="334"/>
      <c r="F371" s="286"/>
    </row>
    <row r="372" spans="1:6" x14ac:dyDescent="0.2">
      <c r="A372" s="334"/>
      <c r="B372" s="334"/>
      <c r="C372" s="334"/>
      <c r="D372" s="334"/>
      <c r="E372" s="334"/>
      <c r="F372" s="286"/>
    </row>
    <row r="373" spans="1:6" x14ac:dyDescent="0.2">
      <c r="A373" s="334"/>
      <c r="B373" s="334"/>
      <c r="C373" s="334"/>
      <c r="D373" s="334"/>
      <c r="E373" s="334"/>
      <c r="F373" s="286"/>
    </row>
    <row r="374" spans="1:6" x14ac:dyDescent="0.2">
      <c r="A374" s="334"/>
      <c r="B374" s="334"/>
      <c r="C374" s="334"/>
      <c r="D374" s="334"/>
      <c r="E374" s="334"/>
      <c r="F374" s="286"/>
    </row>
    <row r="375" spans="1:6" x14ac:dyDescent="0.2">
      <c r="A375" s="334"/>
      <c r="B375" s="334"/>
      <c r="C375" s="334"/>
      <c r="D375" s="334"/>
      <c r="E375" s="334"/>
      <c r="F375" s="286"/>
    </row>
    <row r="376" spans="1:6" x14ac:dyDescent="0.2">
      <c r="A376" s="334"/>
      <c r="B376" s="334"/>
      <c r="C376" s="334"/>
      <c r="D376" s="334"/>
      <c r="E376" s="334"/>
      <c r="F376" s="286"/>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2021-10-28T15:52:03Z</cp:lastPrinted>
  <dcterms:created xsi:type="dcterms:W3CDTF">1997-12-04T19:04:30Z</dcterms:created>
  <dcterms:modified xsi:type="dcterms:W3CDTF">2021-12-14T17:51:54Z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