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D6" i="14"/>
  <c r="D7" i="14"/>
  <c r="D5" i="14"/>
  <c r="F31" i="13"/>
  <c r="F15" i="13"/>
  <c r="F14" i="13"/>
  <c r="F6" i="13"/>
  <c r="F5" i="13" l="1"/>
  <c r="C11" i="12" l="1"/>
  <c r="C12" i="12" l="1"/>
  <c r="G524" i="1"/>
  <c r="G522" i="1"/>
  <c r="F524" i="1"/>
  <c r="F522" i="1"/>
  <c r="F283" i="1" l="1"/>
  <c r="F277" i="1"/>
  <c r="G473" i="1"/>
  <c r="G469" i="1"/>
  <c r="H361" i="1"/>
  <c r="H359" i="1"/>
  <c r="G361" i="1"/>
  <c r="G359" i="1"/>
  <c r="F361" i="1"/>
  <c r="F359" i="1"/>
  <c r="E30" i="17"/>
  <c r="E26" i="17"/>
  <c r="E24" i="17"/>
  <c r="E22" i="17"/>
  <c r="J605" i="1" l="1"/>
  <c r="H605" i="1"/>
  <c r="K265" i="1"/>
  <c r="H244" i="1"/>
  <c r="H287" i="1"/>
  <c r="G334" i="1"/>
  <c r="J325" i="1"/>
  <c r="J320" i="1"/>
  <c r="J315" i="1"/>
  <c r="J287" i="1"/>
  <c r="J277" i="1"/>
  <c r="I321" i="1"/>
  <c r="I320" i="1"/>
  <c r="I318" i="1"/>
  <c r="I315" i="1"/>
  <c r="I283" i="1"/>
  <c r="I282" i="1"/>
  <c r="I280" i="1"/>
  <c r="I277" i="1"/>
  <c r="H321" i="1"/>
  <c r="H320" i="1"/>
  <c r="H315" i="1"/>
  <c r="H283" i="1"/>
  <c r="H277" i="1"/>
  <c r="G321" i="1"/>
  <c r="G320" i="1"/>
  <c r="G316" i="1"/>
  <c r="G283" i="1"/>
  <c r="G282" i="1"/>
  <c r="G280" i="1"/>
  <c r="G277" i="1"/>
  <c r="F321" i="1"/>
  <c r="F320" i="1"/>
  <c r="F280" i="1"/>
  <c r="F334" i="1"/>
  <c r="F282" i="1"/>
  <c r="H22" i="1"/>
  <c r="H102" i="1"/>
  <c r="H24" i="1"/>
  <c r="H161" i="1"/>
  <c r="H159" i="1"/>
  <c r="H155" i="1"/>
  <c r="H154" i="1"/>
  <c r="H135" i="1"/>
  <c r="H30" i="1"/>
  <c r="G612" i="1"/>
  <c r="I612" i="1"/>
  <c r="G24" i="1"/>
  <c r="G158" i="1"/>
  <c r="G132" i="1"/>
  <c r="G97" i="1"/>
  <c r="G9" i="1"/>
  <c r="F110" i="1"/>
  <c r="F28" i="1"/>
  <c r="F24" i="1"/>
  <c r="F13" i="1"/>
  <c r="F9" i="1"/>
  <c r="J592" i="1"/>
  <c r="H592" i="1"/>
  <c r="J593" i="1"/>
  <c r="H593" i="1"/>
  <c r="H583" i="1"/>
  <c r="F583" i="1"/>
  <c r="H369" i="1"/>
  <c r="F369" i="1"/>
  <c r="F368" i="1"/>
  <c r="I359" i="1"/>
  <c r="I361" i="1"/>
  <c r="F499" i="1"/>
  <c r="G499" i="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1" i="2"/>
  <c r="E124"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G477" i="1"/>
  <c r="G553" i="1" l="1"/>
  <c r="E123" i="2"/>
  <c r="E119" i="2"/>
  <c r="E110" i="2"/>
  <c r="H477" i="1"/>
  <c r="H625" i="1" s="1"/>
  <c r="G339" i="1"/>
  <c r="G353" i="1" s="1"/>
  <c r="J652" i="1"/>
  <c r="G662" i="1"/>
  <c r="A40" i="12"/>
  <c r="C12" i="10"/>
  <c r="D15" i="13"/>
  <c r="C15" i="13" s="1"/>
  <c r="C121" i="2"/>
  <c r="D6" i="13"/>
  <c r="C6" i="13" s="1"/>
  <c r="E13" i="13"/>
  <c r="C13" i="13" s="1"/>
  <c r="C120"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49" i="1" l="1"/>
  <c r="E128" i="2"/>
  <c r="F661" i="1"/>
  <c r="F665" i="1" s="1"/>
  <c r="F668" i="1" s="1"/>
  <c r="E115" i="2"/>
  <c r="E145" i="2" s="1"/>
  <c r="H194" i="1"/>
  <c r="G630" i="1" s="1"/>
  <c r="J630" i="1" s="1"/>
  <c r="E51" i="2"/>
  <c r="F194" i="1"/>
  <c r="H661" i="1"/>
  <c r="H665" i="1" s="1"/>
  <c r="H668" i="1" s="1"/>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<sst xmlns="http://schemas.openxmlformats.org/spreadsheetml/2006/main" count="5583" uniqueCount="1680">
  <si>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</si>
  <si>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</si>
  <si>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</si>
  <si>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</si>
  <si>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</si>
  <si>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</si>
  <si>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</si>
  <si>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</si>
  <si>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</si>
  <si>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</si>
  <si>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</si>
  <si>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</si>
  <si>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</si>
  <si>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</si>
  <si>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</si>
  <si>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</si>
  <si>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</si>
  <si>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</si>
  <si>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</si>
  <si>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</si>
  <si>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</si>
  <si>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</si>
  <si>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</si>
  <si>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</si>
  <si>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</si>
  <si>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</si>
  <si>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</si>
  <si>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</si>
  <si>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</si>
  <si>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</si>
  <si>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</si>
  <si>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</si>
  <si>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</si>
  <si>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</si>
  <si>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</si>
  <si>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</si>
  <si>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</si>
  <si>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</si>
  <si>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</si>
  <si>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</si>
  <si>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</si>
  <si>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</si>
  <si>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</si>
  <si>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</si>
  <si>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</si>
  <si>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</si>
  <si>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</si>
  <si>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</si>
  <si>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</si>
  <si>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</si>
  <si>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</si>
  <si>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</si>
  <si>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</si>
  <si>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</si>
  <si>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</si>
  <si>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</si>
  <si>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</si>
  <si>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</si>
  <si>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</si>
  <si>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</si>
  <si>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</si>
  <si>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</si>
  <si>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</si>
  <si>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</si>
  <si>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</si>
  <si>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</si>
  <si>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</si>
  <si>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</si>
  <si>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</si>
  <si>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</si>
  <si>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</si>
  <si>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</si>
  <si>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</si>
  <si>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</si>
  <si>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</si>
  <si>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</si>
  <si>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</si>
  <si>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</si>
  <si>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</si>
  <si>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</si>
  <si>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</si>
  <si>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</si>
  <si>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</si>
  <si>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</si>
  <si>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</si>
  <si>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</si>
  <si>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</si>
  <si>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</si>
  <si>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</si>
  <si>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</si>
  <si>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</si>
  <si>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</si>
  <si>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</si>
  <si>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</si>
  <si>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</si>
  <si>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</si>
  <si>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</si>
  <si>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</si>
  <si>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</si>
  <si>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</si>
  <si>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</si>
  <si>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</si>
  <si>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</si>
  <si>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</si>
  <si>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</si>
  <si>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</si>
  <si>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</si>
  <si>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</si>
  <si>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</si>
  <si>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</si>
  <si>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</si>
  <si>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</si>
  <si>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</si>
  <si>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</si>
  <si>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</si>
  <si>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</si>
  <si>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</si>
  <si>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</si>
  <si>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</si>
  <si>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</si>
  <si>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</si>
  <si>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</si>
  <si>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</si>
  <si>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</si>
  <si>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</si>
  <si>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</si>
  <si>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</si>
  <si>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</si>
  <si>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</si>
  <si>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</si>
  <si>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</si>
  <si>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</si>
  <si>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</si>
  <si>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</si>
  <si>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</si>
  <si>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</si>
  <si>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</si>
  <si>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</si>
  <si>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</si>
  <si>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</si>
  <si>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</si>
  <si>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</si>
  <si>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</si>
  <si>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</si>
  <si>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</si>
  <si>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</si>
  <si>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</si>
  <si>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</si>
  <si>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</si>
  <si>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</si>
  <si>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</si>
  <si>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</si>
  <si>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</si>
  <si>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</si>
  <si>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</si>
  <si>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</si>
  <si>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</si>
  <si>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</si>
  <si>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</si>
  <si>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</si>
  <si>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</si>
  <si>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</si>
  <si>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</si>
  <si>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</si>
  <si>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</si>
  <si>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</si>
  <si>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</si>
  <si>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</si>
  <si>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</si>
  <si>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</si>
  <si>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</si>
  <si>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</si>
  <si>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</si>
  <si>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</si>
  <si>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</si>
  <si>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</si>
  <si>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</si>
  <si>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</si>
  <si>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</si>
  <si>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</si>
  <si>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</si>
  <si>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</si>
  <si>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</si>
  <si>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</si>
  <si>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</si>
  <si>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</si>
  <si>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</si>
  <si>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</si>
  <si>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</si>
  <si>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</si>
  <si>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</si>
  <si>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</si>
  <si>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</si>
  <si>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</si>
  <si>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</si>
  <si>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</si>
  <si>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</si>
  <si>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</si>
  <si>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</si>
  <si>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</si>
  <si>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</si>
  <si>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</si>
  <si>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</si>
  <si>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</si>
  <si>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</si>
  <si>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</si>
  <si>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</si>
  <si>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</si>
  <si>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</si>
  <si>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</si>
  <si>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</si>
  <si>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</si>
  <si>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</si>
  <si>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</si>
  <si>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</si>
  <si>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</si>
  <si>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</si>
  <si>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</si>
  <si>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</si>
  <si>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</si>
  <si>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</si>
  <si>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</si>
  <si>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</si>
  <si>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</si>
  <si>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</si>
  <si>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</si>
  <si>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</si>
  <si>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</si>
  <si>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</si>
  <si>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</si>
  <si>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</si>
  <si>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</si>
  <si>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</si>
  <si>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</si>
  <si>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</si>
  <si>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</si>
  <si>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</si>
  <si>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</si>
  <si>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</si>
  <si>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</si>
  <si>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</si>
  <si>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</si>
  <si>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</si>
  <si>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</si>
  <si>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</si>
  <si>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</si>
  <si>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</si>
  <si>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</si>
  <si>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</si>
  <si>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</si>
  <si>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</si>
  <si>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</si>
  <si>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</si>
  <si>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</si>
  <si>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</si>
  <si>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</si>
  <si>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</si>
  <si>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</si>
  <si>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</si>
  <si>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</si>
  <si>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</si>
  <si>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</si>
  <si>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</si>
  <si>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</si>
  <si>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</si>
  <si>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</si>
  <si>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</si>
  <si>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</si>
  <si>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</si>
  <si>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</si>
  <si>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</si>
  <si>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</si>
  <si>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</si>
  <si>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</si>
  <si>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</si>
  <si>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</si>
  <si>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</si>
  <si>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</si>
  <si>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</si>
  <si>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</si>
  <si>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</si>
  <si>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</si>
  <si>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</si>
  <si>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</si>
  <si>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</si>
  <si>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</si>
  <si>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</si>
  <si>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</si>
  <si>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</si>
  <si>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</si>
  <si>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</si>
  <si>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</si>
  <si>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</si>
  <si>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</si>
  <si>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</si>
  <si>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</si>
  <si>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</si>
  <si>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</si>
  <si>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</si>
  <si>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</si>
  <si>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</si>
  <si>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</si>
  <si>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</si>
  <si>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</si>
  <si>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</si>
  <si>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</si>
  <si>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</si>
  <si>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</si>
  <si>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</si>
  <si>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</si>
  <si>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</si>
  <si>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</si>
  <si>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</si>
  <si>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</si>
  <si>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</si>
  <si>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</si>
  <si>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</si>
  <si>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</si>
  <si>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</si>
  <si>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</si>
  <si>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</si>
  <si>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</si>
  <si>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</si>
  <si>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</si>
  <si>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</si>
  <si>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</si>
  <si>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</si>
  <si>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</si>
  <si>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</si>
  <si>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</si>
  <si>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</si>
  <si>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</si>
  <si>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</si>
  <si>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</si>
  <si>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</si>
  <si>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</si>
  <si>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</si>
  <si>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</si>
  <si>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</si>
  <si>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</si>
  <si>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</si>
  <si>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</si>
  <si>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</si>
  <si>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</si>
  <si>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</si>
  <si>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</si>
  <si>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</si>
  <si>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</si>
  <si>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</si>
  <si>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</si>
  <si>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</si>
  <si>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</si>
  <si>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</si>
  <si>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</si>
  <si>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</si>
  <si>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</si>
  <si>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</si>
  <si>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</si>
  <si>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</si>
  <si>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</si>
  <si>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</si>
  <si>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</si>
  <si>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</si>
  <si>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</si>
  <si>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</si>
  <si>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</si>
  <si>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</si>
  <si>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</si>
  <si>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</si>
  <si>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</si>
  <si>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</si>
  <si>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</si>
  <si>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</si>
  <si>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</si>
  <si>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</si>
  <si>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</si>
  <si>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</si>
  <si>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</si>
  <si>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</si>
  <si>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</si>
  <si>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</si>
  <si>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</si>
  <si>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</si>
  <si>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</si>
  <si>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</si>
  <si>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</si>
  <si>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</si>
  <si>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</si>
  <si>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</si>
  <si>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</si>
  <si>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</si>
  <si>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</si>
  <si>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</si>
  <si>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</si>
  <si>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</si>
  <si>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</si>
  <si>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</si>
  <si>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</si>
  <si>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</si>
  <si>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</si>
  <si>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</si>
  <si>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</si>
  <si>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</si>
  <si>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</si>
  <si>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</si>
  <si>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</si>
  <si>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</si>
  <si>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</si>
  <si>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</si>
  <si>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</si>
  <si>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</si>
  <si>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</si>
  <si>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</si>
  <si>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</si>
  <si>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</si>
  <si>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</si>
  <si>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</si>
  <si>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</si>
  <si>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</si>
  <si>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</si>
  <si>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</si>
  <si>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</si>
  <si>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</si>
  <si>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</si>
  <si>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</si>
  <si>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</si>
  <si>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</si>
  <si>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</si>
  <si>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</si>
  <si>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</si>
  <si>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</si>
  <si>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</si>
  <si>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</si>
  <si>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</si>
  <si>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</si>
  <si>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</si>
  <si>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</si>
  <si>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</si>
  <si>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</si>
  <si>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</si>
  <si>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</si>
  <si>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</si>
  <si>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</si>
  <si>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</si>
  <si>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</si>
  <si>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</si>
  <si>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</si>
  <si>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</si>
  <si>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</si>
  <si>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</si>
  <si>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</si>
  <si>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</si>
  <si>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</si>
  <si>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</si>
  <si>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</si>
  <si>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</si>
  <si>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</si>
  <si>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</si>
  <si>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</si>
  <si>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</si>
  <si>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</si>
  <si>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</si>
  <si>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</si>
  <si>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</si>
  <si>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</si>
  <si>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</si>
  <si>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</si>
  <si>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</si>
  <si>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</si>
  <si>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</si>
  <si>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</si>
  <si>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</si>
  <si>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</si>
  <si>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</si>
  <si>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</si>
  <si>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</si>
  <si>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</si>
  <si>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</si>
  <si>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</si>
  <si>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</si>
  <si>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</si>
  <si>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</si>
  <si>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</si>
  <si>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</si>
  <si>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</si>
  <si>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</si>
  <si>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</si>
  <si>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</si>
  <si>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</si>
  <si>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</si>
  <si>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</si>
  <si>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</si>
  <si>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</si>
  <si>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</si>
  <si>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</si>
  <si>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</si>
  <si>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</si>
  <si>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</si>
  <si>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</si>
  <si>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</si>
  <si>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</si>
  <si>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</si>
  <si>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</si>
  <si>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</si>
  <si>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</si>
  <si>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</si>
  <si>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</si>
  <si>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</si>
  <si>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</si>
  <si>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</si>
  <si>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</si>
  <si>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</si>
  <si>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</si>
  <si>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</si>
  <si>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</si>
  <si>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</si>
  <si>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</si>
  <si>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</si>
  <si>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</si>
  <si>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</si>
  <si>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</si>
  <si>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</si>
  <si>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</si>
  <si>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</si>
  <si>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</si>
  <si>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</si>
  <si>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</si>
  <si>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</si>
  <si>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</si>
  <si>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</si>
  <si>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</si>
  <si>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</si>
  <si>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</si>
  <si>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</si>
  <si>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</si>
  <si>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</si>
  <si>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</si>
  <si>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</si>
  <si>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</si>
  <si>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</si>
  <si>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</si>
  <si>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</si>
  <si>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</si>
  <si>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</si>
  <si>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</si>
  <si>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</si>
  <si>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</si>
  <si>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</si>
  <si>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</si>
  <si>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</si>
  <si>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</si>
  <si>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</si>
  <si>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</si>
  <si>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</si>
  <si>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</si>
  <si>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</si>
  <si>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</si>
  <si>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</si>
  <si>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</si>
  <si>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</si>
  <si>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</si>
  <si>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</si>
  <si>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</si>
  <si>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</si>
  <si>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</si>
  <si>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</si>
  <si>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</si>
  <si>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</si>
  <si>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</si>
  <si>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</si>
  <si>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</si>
  <si>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</si>
  <si>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</si>
  <si>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</si>
  <si>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</si>
  <si>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</si>
  <si>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</si>
  <si>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</si>
  <si>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</si>
  <si>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</si>
  <si>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</si>
  <si>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</si>
  <si>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</si>
  <si>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</si>
  <si>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</si>
  <si>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</si>
  <si>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</si>
  <si>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</si>
  <si>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</si>
  <si>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</si>
  <si>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</si>
  <si>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</si>
  <si>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</si>
  <si>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</si>
  <si>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</si>
  <si>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</si>
  <si>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</si>
  <si>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</si>
  <si>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</si>
  <si>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</si>
  <si>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</si>
  <si>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</si>
  <si>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</si>
  <si>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</si>
  <si>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</si>
  <si>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</si>
  <si>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</si>
  <si>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</si>
  <si>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</si>
  <si>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</si>
  <si>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</si>
  <si>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</si>
  <si>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</si>
  <si>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</si>
  <si>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</si>
  <si>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</si>
  <si>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</si>
  <si>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</si>
  <si>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</si>
  <si>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</si>
  <si>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</si>
  <si>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</si>
  <si>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</si>
  <si>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</si>
  <si>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</si>
  <si>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</si>
  <si>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</si>
  <si>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</si>
  <si>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</si>
  <si>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</si>
  <si>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</si>
  <si>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</si>
  <si>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</si>
  <si>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</si>
  <si>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</si>
  <si>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</si>
  <si>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</si>
  <si>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</si>
  <si>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</si>
  <si>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</si>
  <si>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</si>
  <si>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</si>
  <si>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</si>
  <si>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</si>
  <si>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</si>
  <si>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</si>
  <si>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</si>
  <si>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</si>
  <si>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</si>
  <si>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</si>
  <si>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</si>
  <si>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</si>
  <si>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</si>
  <si>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</si>
  <si>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</si>
  <si>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</si>
  <si>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</si>
  <si>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</si>
  <si>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</si>
  <si>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</si>
  <si>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</si>
  <si>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</si>
  <si>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</si>
  <si>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</si>
  <si>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</si>
  <si>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</si>
  <si>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</si>
  <si>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</si>
  <si>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</si>
  <si>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</si>
  <si>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</si>
  <si>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</si>
  <si>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</si>
  <si>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</si>
  <si>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</si>
  <si>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</si>
  <si>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</si>
  <si>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</si>
  <si>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</si>
  <si>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</si>
  <si>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</si>
  <si>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</si>
  <si>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</si>
  <si>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</si>
  <si>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</si>
  <si>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</si>
  <si>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</si>
  <si>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</si>
  <si>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</si>
  <si>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</si>
  <si>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</si>
  <si>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</si>
  <si>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</si>
  <si>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</si>
  <si>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</si>
  <si>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</si>
  <si>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</si>
  <si>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</si>
  <si>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</si>
  <si>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</si>
  <si>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</si>
  <si>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</si>
  <si>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</si>
  <si>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</si>
  <si>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</si>
  <si>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</si>
  <si>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</si>
  <si>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</si>
  <si>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</si>
  <si>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</si>
  <si>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</si>
  <si>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</si>
  <si>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</si>
  <si>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</si>
  <si>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</si>
  <si>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</si>
  <si>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</si>
  <si>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</si>
  <si>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</si>
  <si>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</si>
  <si>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</si>
  <si>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</si>
  <si>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</si>
  <si>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</si>
  <si>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</si>
  <si>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</si>
  <si>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</si>
  <si>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</si>
  <si>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</si>
  <si>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</si>
  <si>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</si>
  <si>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</si>
  <si>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</si>
  <si>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</si>
  <si>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</si>
  <si>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</si>
  <si>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</si>
  <si>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</si>
  <si>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</si>
  <si>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</si>
  <si>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</si>
  <si>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</si>
  <si>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</si>
  <si>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</si>
  <si>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</si>
  <si>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</si>
  <si>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</si>
  <si>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</si>
  <si>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</si>
  <si>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</si>
  <si>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</si>
  <si>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</si>
  <si>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</si>
  <si>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</si>
  <si>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</si>
  <si>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</si>
  <si>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</si>
  <si>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</si>
  <si>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</si>
  <si>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</si>
  <si>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</si>
  <si>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</si>
  <si>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</si>
  <si>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</si>
  <si>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</si>
  <si>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</si>
  <si>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</si>
  <si>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</si>
  <si>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</si>
  <si>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</si>
  <si>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</si>
  <si>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</si>
  <si>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</si>
  <si>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</si>
  <si>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</si>
  <si>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</si>
  <si>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</si>
  <si>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</si>
  <si>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</si>
  <si>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</si>
  <si>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</si>
  <si>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</si>
  <si>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</si>
  <si>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</si>
  <si>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</si>
  <si>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</si>
  <si>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</si>
  <si>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</si>
  <si>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</si>
  <si>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</si>
  <si>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</si>
  <si>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</si>
  <si>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</si>
  <si>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</si>
  <si>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</si>
  <si>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</si>
  <si>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</si>
  <si>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</si>
  <si>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</si>
  <si>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</si>
  <si>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</si>
  <si>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</si>
  <si>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</si>
  <si>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</si>
  <si>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</si>
  <si>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</si>
  <si>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</si>
  <si>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</si>
  <si>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</si>
  <si>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</si>
  <si>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</si>
  <si>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</si>
  <si>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</si>
  <si>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</si>
  <si>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</si>
  <si>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</si>
  <si>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</si>
  <si>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</si>
  <si>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</si>
  <si>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</si>
  <si>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</si>
  <si>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</si>
  <si>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</si>
  <si>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</si>
  <si>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</si>
  <si>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</si>
  <si>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</si>
  <si>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</si>
  <si>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</si>
  <si>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</si>
  <si>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</si>
  <si>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</si>
  <si>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</si>
  <si>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</si>
  <si>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</si>
  <si>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</si>
  <si>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</si>
  <si>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</si>
  <si>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</si>
  <si>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</si>
  <si>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</si>
  <si>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</si>
  <si>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</si>
  <si>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</si>
  <si>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</si>
  <si>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</si>
  <si>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</si>
  <si>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</si>
  <si>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</si>
  <si>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</si>
  <si>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</si>
  <si>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</si>
  <si>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</si>
  <si>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</si>
  <si>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</si>
  <si>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</si>
  <si>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</si>
  <si>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</si>
  <si>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</si>
  <si>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</si>
  <si>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</si>
  <si>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</si>
  <si>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</si>
  <si>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</si>
  <si>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</si>
  <si>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</si>
  <si>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</si>
  <si>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</si>
  <si>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</si>
  <si>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</si>
  <si>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</si>
  <si>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</si>
  <si>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</si>
  <si>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</si>
  <si>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</si>
  <si>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</si>
  <si>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</si>
  <si>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</si>
  <si>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</si>
  <si>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</si>
  <si>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</si>
  <si>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</si>
  <si>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</si>
  <si>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</si>
  <si>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</si>
  <si>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</si>
  <si>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</si>
  <si>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</si>
  <si>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</si>
  <si>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</si>
  <si>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</si>
  <si>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</si>
  <si>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</si>
  <si>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</si>
  <si>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</si>
  <si>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</si>
  <si>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</si>
  <si>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</si>
  <si>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</si>
  <si>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</si>
  <si>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</si>
  <si>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</si>
  <si>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</si>
  <si>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</si>
  <si>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</si>
  <si>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</si>
  <si>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</si>
  <si>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</si>
  <si>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</si>
  <si>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</si>
  <si>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</si>
  <si>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</si>
  <si>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</si>
  <si>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</si>
  <si>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</si>
  <si>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</si>
  <si>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</si>
  <si>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</si>
  <si>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</si>
  <si>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</si>
  <si>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</si>
  <si>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</si>
  <si>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</si>
  <si>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</si>
  <si>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</si>
  <si>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</si>
  <si>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</si>
  <si>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</si>
  <si>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</si>
  <si>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</si>
  <si>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</si>
  <si>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</si>
  <si>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</si>
  <si>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</si>
  <si>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</si>
  <si>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</si>
  <si>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</si>
  <si>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</si>
  <si>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</si>
  <si>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</si>
  <si>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</si>
  <si>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</si>
  <si>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</si>
  <si>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</si>
  <si>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</si>
  <si>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</si>
  <si>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</si>
  <si>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</si>
  <si>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</si>
  <si>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</si>
  <si>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</si>
  <si>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</si>
  <si>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</si>
  <si>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</si>
  <si>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</si>
  <si>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</si>
  <si>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</si>
  <si>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</si>
  <si>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</si>
  <si>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</si>
  <si>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</si>
  <si>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</si>
  <si>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</si>
  <si>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</si>
  <si>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</si>
  <si>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</si>
  <si>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</si>
  <si>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</si>
  <si>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</si>
  <si>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</si>
  <si>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</si>
  <si>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</si>
  <si>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</si>
  <si>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</si>
  <si>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</si>
  <si>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</si>
  <si>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</si>
  <si>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</si>
  <si>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</si>
  <si>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</si>
  <si>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</si>
  <si>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</si>
  <si>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</si>
  <si>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</si>
  <si>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</si>
  <si>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</si>
  <si>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</si>
  <si>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</si>
  <si>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</si>
  <si>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</si>
  <si>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</si>
  <si>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</si>
  <si>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</si>
  <si>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</si>
  <si>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</si>
  <si>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</si>
  <si>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</si>
  <si>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</si>
  <si>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</si>
  <si>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</si>
  <si>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</si>
  <si>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</si>
  <si>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</si>
  <si>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</si>
  <si>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</si>
  <si>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</si>
  <si>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</si>
  <si>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</si>
  <si>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</si>
  <si>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</si>
  <si>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</si>
  <si>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</si>
  <si>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</si>
  <si>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</si>
  <si>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</si>
  <si>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</si>
  <si>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</si>
  <si>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</si>
  <si>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</si>
  <si>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</si>
  <si>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</si>
  <si>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</si>
  <si>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</si>
  <si>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</si>
  <si>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</si>
  <si>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</si>
  <si>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</si>
  <si>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</si>
  <si>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</si>
  <si>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</si>
  <si>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</si>
  <si>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</si>
  <si>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</si>
  <si>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</si>
  <si>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</si>
  <si>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</si>
  <si>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</si>
  <si>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</si>
  <si>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</si>
  <si>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</si>
  <si>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</si>
  <si>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</si>
  <si>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</si>
  <si>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</si>
  <si>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</si>
  <si>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</si>
  <si>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</si>
  <si>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</si>
  <si>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</si>
  <si>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</si>
  <si>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</si>
  <si>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</si>
  <si>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</si>
  <si>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</si>
  <si>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</si>
  <si>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</si>
  <si>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</si>
  <si>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</si>
  <si>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</si>
  <si>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</si>
  <si>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</si>
  <si>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</si>
  <si>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</si>
  <si>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</si>
  <si>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</si>
  <si>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</si>
  <si>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</si>
  <si>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</si>
  <si>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</si>
  <si>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</si>
  <si>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</si>
  <si>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</si>
  <si>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</si>
  <si>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</si>
  <si>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</si>
  <si>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</si>
  <si>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</si>
  <si>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</si>
  <si>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</si>
  <si>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</si>
  <si>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</si>
  <si>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</si>
  <si>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</si>
  <si>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</si>
  <si>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</si>
  <si>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</si>
  <si>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</si>
  <si>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</si>
  <si>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</si>
  <si>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</si>
  <si>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</si>
  <si>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</si>
  <si>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</si>
  <si>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</si>
  <si>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</si>
  <si>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</si>
  <si>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</si>
  <si>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</si>
  <si>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</si>
  <si>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</si>
  <si>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</si>
  <si>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</si>
  <si>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</si>
  <si>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</si>
  <si>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</si>
  <si>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</si>
  <si>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</si>
  <si>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</si>
  <si>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</si>
  <si>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</si>
  <si>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</si>
  <si>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</si>
  <si>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</si>
  <si>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</si>
  <si>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</si>
  <si>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</si>
  <si>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</si>
  <si>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</si>
  <si>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</si>
  <si>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</si>
  <si>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</si>
  <si>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</si>
  <si>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</si>
  <si>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</si>
  <si>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</si>
  <si>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</si>
  <si>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</si>
  <si>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</si>
  <si>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</si>
  <si>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</si>
  <si>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</si>
  <si>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</si>
  <si>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</si>
  <si>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</si>
  <si>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</si>
  <si>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</si>
  <si>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</si>
  <si>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</si>
  <si>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</si>
  <si>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</si>
  <si>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</si>
  <si>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</si>
  <si>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</si>
  <si>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</si>
  <si>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</si>
  <si>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</si>
  <si>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</si>
  <si>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</si>
  <si>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</si>
  <si>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</si>
  <si>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</si>
  <si>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</si>
  <si>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</si>
  <si>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</si>
  <si>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</si>
  <si>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</si>
  <si>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</si>
  <si>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</si>
  <si>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</si>
  <si>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</si>
  <si>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</si>
  <si>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</si>
  <si>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</si>
  <si>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</si>
  <si>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</si>
  <si>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</si>
  <si>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</si>
  <si>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</si>
  <si>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</si>
  <si>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</si>
  <si>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</si>
  <si>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</si>
  <si>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</si>
  <si>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</si>
  <si>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</si>
  <si>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</si>
  <si>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</si>
  <si>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</si>
  <si>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</si>
  <si>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</si>
  <si>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</si>
  <si>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</si>
  <si>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</si>
  <si>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</si>
  <si>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</si>
  <si>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</si>
  <si>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</si>
  <si>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</si>
  <si>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</si>
  <si>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</si>
  <si>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</si>
  <si>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</si>
  <si>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</si>
  <si>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</si>
  <si>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</si>
  <si>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</si>
  <si>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</si>
  <si>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</si>
  <si>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</si>
  <si>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</si>
  <si>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</si>
  <si>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</si>
  <si>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</si>
  <si>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</si>
  <si>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</si>
  <si>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</si>
  <si>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</si>
  <si>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</si>
  <si>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</si>
  <si>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</si>
  <si>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</si>
  <si>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</si>
  <si>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</si>
  <si>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</si>
  <si>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</si>
  <si>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</si>
  <si>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</si>
  <si>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</si>
  <si>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</si>
  <si>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</si>
  <si>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</si>
  <si>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</si>
  <si>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</si>
  <si>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</si>
  <si>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</si>
  <si>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</si>
  <si>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</si>
  <si>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</si>
  <si>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</si>
  <si>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</si>
  <si>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</si>
  <si>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</si>
  <si>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</si>
  <si>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</si>
  <si>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</si>
  <si>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</si>
  <si>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</si>
  <si>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</si>
  <si>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</si>
  <si>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</si>
  <si>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</si>
  <si>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</si>
  <si>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</si>
  <si>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</si>
  <si>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</si>
  <si>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</si>
  <si>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</si>
  <si>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</si>
  <si>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</si>
  <si>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</si>
  <si>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</si>
  <si>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</si>
  <si>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</si>
  <si>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</si>
  <si>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</si>
  <si>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</si>
  <si>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</si>
  <si>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</si>
  <si>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</si>
  <si>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</si>
  <si>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</si>
  <si>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</si>
  <si>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</si>
  <si>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</si>
  <si>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</si>
  <si>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</si>
  <si>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</si>
  <si>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</si>
  <si>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</si>
  <si>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</si>
  <si>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</si>
  <si>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</si>
  <si>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</si>
  <si>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</si>
  <si>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</si>
  <si>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</si>
  <si>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</si>
  <si>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</si>
  <si>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</si>
  <si>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</si>
  <si>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</si>
  <si>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</si>
  <si>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</si>
  <si>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</si>
  <si>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</si>
  <si>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</si>
  <si>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</si>
  <si>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</si>
  <si>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</si>
  <si>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</si>
  <si>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</si>
  <si>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</si>
  <si>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</si>
  <si>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</si>
  <si>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</si>
  <si>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</si>
  <si>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</si>
  <si>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</si>
  <si>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</si>
  <si>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</si>
  <si>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</si>
  <si>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</si>
  <si>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</si>
  <si>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</si>
  <si>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</si>
  <si>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</si>
  <si>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</si>
  <si>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</si>
  <si>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</si>
  <si>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</si>
  <si>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</si>
  <si>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</si>
  <si>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</si>
  <si>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</si>
  <si>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</si>
  <si>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</si>
  <si>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</si>
  <si>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</si>
  <si>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</si>
  <si>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</si>
  <si>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</si>
  <si>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</si>
  <si>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</si>
  <si>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</si>
  <si>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</si>
  <si>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</si>
  <si>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</si>
  <si>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</si>
  <si>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</si>
  <si>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</si>
  <si>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</si>
  <si>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</si>
  <si>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</si>
  <si>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</si>
  <si>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</si>
  <si>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</si>
  <si>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</si>
  <si>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</si>
  <si>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</si>
  <si>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</si>
  <si>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</si>
  <si>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</si>
  <si>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</si>
  <si>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</si>
  <si>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</si>
  <si>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</si>
  <si>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</si>
  <si>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</si>
  <si>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</si>
  <si>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</si>
  <si>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</si>
  <si>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</si>
  <si>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</si>
  <si>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</si>
  <si>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</si>
  <si>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</si>
  <si>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</si>
  <si>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</si>
  <si>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</si>
  <si>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</si>
  <si>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</si>
  <si>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</si>
  <si>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</si>
  <si>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</si>
  <si>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</si>
  <si>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</si>
  <si>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</si>
  <si>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</si>
  <si>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</si>
  <si>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</si>
  <si>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</si>
  <si>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</si>
  <si>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</si>
  <si>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</si>
  <si>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</si>
  <si>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</si>
  <si>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</si>
  <si>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</si>
  <si>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</si>
  <si>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</si>
  <si>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</si>
  <si>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</si>
  <si>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</si>
  <si>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</si>
  <si>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</si>
  <si>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</si>
  <si>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</si>
  <si>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</si>
  <si>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</si>
  <si>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</si>
  <si>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</si>
  <si>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</si>
  <si>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</si>
  <si>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</si>
  <si>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</si>
  <si>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</si>
  <si>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</si>
  <si>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</si>
  <si>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</si>
  <si>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</si>
  <si>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</si>
  <si>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</si>
  <si>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</si>
  <si>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</si>
  <si>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</si>
  <si>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</si>
  <si>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</si>
  <si>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</si>
  <si>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</si>
  <si>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</si>
  <si>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</si>
  <si>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</si>
  <si>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</si>
  <si>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</si>
  <si>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</si>
  <si>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</si>
  <si>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</si>
  <si>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</si>
  <si>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</si>
  <si>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</si>
  <si>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</si>
  <si>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</si>
  <si>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</si>
  <si>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</si>
  <si>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</si>
  <si>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</si>
  <si>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</si>
  <si>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</si>
  <si>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</si>
  <si>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</si>
  <si>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</si>
  <si>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</si>
  <si>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</si>
  <si>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</si>
  <si>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</si>
  <si>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</si>
  <si>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</si>
  <si>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</si>
  <si>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</si>
  <si>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</si>
  <si>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</si>
  <si>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</si>
  <si>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</si>
  <si>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</si>
  <si>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</si>
  <si>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</si>
  <si>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</si>
  <si>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</si>
  <si>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</si>
  <si>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</si>
  <si>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</si>
  <si>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</si>
  <si>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</si>
  <si>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</si>
  <si>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</si>
  <si>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</si>
  <si>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</si>
  <si>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</si>
  <si>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</si>
  <si>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</si>
  <si>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</si>
  <si>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</si>
  <si>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</si>
  <si>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</si>
  <si>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</si>
  <si>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</si>
  <si>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</si>
  <si>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</si>
  <si>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</si>
  <si>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</si>
  <si>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</si>
  <si>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</si>
  <si>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</si>
  <si>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</si>
  <si>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</si>
  <si>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</si>
  <si>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</si>
  <si>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</si>
  <si>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</si>
  <si>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</si>
  <si>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</si>
  <si>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</si>
  <si>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</si>
  <si>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</si>
  <si>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</si>
  <si>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</si>
  <si>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</si>
  <si>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</si>
  <si>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</si>
  <si>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</si>
  <si>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</si>
  <si>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</si>
  <si>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</si>
  <si>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</si>
  <si>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</si>
  <si>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</si>
  <si>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</si>
  <si>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</si>
  <si>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</si>
  <si>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</si>
  <si>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</si>
  <si>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</si>
  <si>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</si>
  <si>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</si>
  <si>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</si>
  <si>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</si>
  <si>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</si>
  <si>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</si>
  <si>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</si>
  <si>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</si>
  <si>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</si>
  <si>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</si>
  <si>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</si>
  <si>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</si>
  <si>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</si>
  <si>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</si>
  <si>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</si>
  <si>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</si>
  <si>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</si>
  <si>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</si>
  <si>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</si>
  <si>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</si>
  <si>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</si>
  <si>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</si>
  <si>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</si>
  <si>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</si>
  <si>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</si>
  <si>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</si>
  <si>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</si>
  <si>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</si>
  <si>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</si>
  <si>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</si>
  <si>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</si>
  <si>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</si>
  <si>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</si>
  <si>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</si>
  <si>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</si>
  <si>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</si>
  <si>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</si>
  <si>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</si>
  <si>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</si>
  <si>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</si>
  <si>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</si>
  <si>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</si>
  <si>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</si>
  <si>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</si>
  <si>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</si>
  <si>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</si>
  <si>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</si>
  <si>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</si>
  <si>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</si>
  <si>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</si>
  <si>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</si>
  <si>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</si>
  <si>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</si>
  <si>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</si>
  <si>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</si>
  <si>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</si>
  <si>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</si>
  <si>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</si>
  <si>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</si>
  <si>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</si>
  <si>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</si>
  <si>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</si>
  <si>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</si>
  <si>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</si>
  <si>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</si>
  <si>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</si>
  <si>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</si>
  <si>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</si>
  <si>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</si>
  <si>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</si>
  <si>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</si>
  <si>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</si>
  <si>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</si>
  <si>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</si>
  <si>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</si>
  <si>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</si>
  <si>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</si>
  <si>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</si>
  <si>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</si>
  <si>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</si>
  <si>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</si>
  <si>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</si>
  <si>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</si>
  <si>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</si>
  <si>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</si>
  <si>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</si>
  <si>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</si>
  <si>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</si>
  <si>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</si>
  <si>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</si>
  <si>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</si>
  <si>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</si>
  <si>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</si>
  <si>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</si>
  <si>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</si>
  <si>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</si>
  <si>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</si>
  <si>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</si>
  <si>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</si>
  <si>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</si>
  <si>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</si>
  <si>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</si>
  <si>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</si>
  <si>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</si>
  <si>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</si>
  <si>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</si>
  <si>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</si>
  <si>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</si>
  <si>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</si>
  <si>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</si>
  <si>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</si>
  <si>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</si>
  <si>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</si>
  <si>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</si>
  <si>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</si>
  <si>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</si>
  <si>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</si>
  <si>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</si>
  <si>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</si>
  <si>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</si>
  <si>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</si>
  <si>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</si>
  <si>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</si>
  <si>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</si>
  <si>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</si>
  <si>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</si>
  <si>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</si>
  <si>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</si>
  <si>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</si>
  <si>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</si>
  <si>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</si>
  <si>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</si>
  <si>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</si>
  <si>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</si>
  <si>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</si>
  <si>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</si>
  <si>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</si>
  <si>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</si>
  <si>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</si>
  <si>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</si>
  <si>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</si>
  <si>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</si>
  <si>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</si>
  <si>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</si>
  <si>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</si>
  <si>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</si>
  <si>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</si>
  <si>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</si>
  <si>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</si>
  <si>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</si>
  <si>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</si>
  <si>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</si>
  <si>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</si>
  <si>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</si>
  <si>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</si>
  <si>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</si>
  <si>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</si>
  <si>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</si>
  <si>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</si>
  <si>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</si>
  <si>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</si>
  <si>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</si>
  <si>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</si>
  <si>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</si>
  <si>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</si>
  <si>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</si>
  <si>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</si>
  <si>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</si>
  <si>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</si>
  <si>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</si>
  <si>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Franklin School District</t>
  </si>
  <si>
    <t>05/06</t>
  </si>
  <si>
    <t>08/19</t>
  </si>
  <si>
    <t>05/26</t>
  </si>
  <si>
    <t>08/39</t>
  </si>
  <si>
    <t>Insurance Premium Holidays, Project Aware Local Support, Asset Sale, Jury Duty, Royalty Payment, Photocopy Payments</t>
  </si>
  <si>
    <t>GOFER - $185,200;System of Care - $31,249.74;Student Assistance Program DHHS - $77,100.27;</t>
  </si>
  <si>
    <t>Department of Justice - Stop Violence Grant - $48,874.56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</si>
</sst>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185</v>
      </c>
      <c r="C2" s="21">
        <v>185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100+150+200-98677.76</f>
        <v>-98227.76</v>
      </c>
      <c r="G9" s="18">
        <f>61414.31+317</f>
        <v>61731.31</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48953.21+1435316.16</f>
        <v>1484269.3699999999</v>
      </c>
      <c r="G13" s="18">
        <v>200953.26</v>
      </c>
      <c r="H13" s="18">
        <v>495654.9</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18123.11</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13732</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73837.87</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1478002.5899999999</v>
      </c>
      <c r="G19" s="41">
        <f>SUM(G9:G18)</f>
        <v>276416.57</v>
      </c>
      <c r="H19" s="41">
        <f>SUM(H9:H18)</f>
        <v>495654.9</v>
      </c>
      <c r="I19" s="41">
        <f>SUM(I9:I18)</f>
        <v>0</v>
      </c>
      <c r="J19" s="41">
        <f>SUM(J9:J18)</f>
        <v>0</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-201935.55</v>
      </c>
      <c r="G22" s="18">
        <v>255982.38</v>
      </c>
      <c r="H22" s="18">
        <f>-3000-15584.32+382553.71-286.07-54111.66-992.03-4423.41-23500-11844.04-31.47-1310.51</f>
        <v>267470.20000000007</v>
      </c>
      <c r="I22" s="18"/>
      <c r="J22" s="67">
        <f>SUM(I449)</f>
        <v>-321398</v>
      </c>
      <c r="K22" s="24" t="s">
        <v>288</v>
      </c>
      <c r="L22" s="24" t="s">
        <v>288</v>
      </c>
      <c r="M22" s="8"/>
      <c r="N22" s="264"/>
    </row>
    <row r="23" spans="1:14" s="3" customFormat="1" ht="12.2" customHeight="1" x14ac:dyDescent="0.15">
      <c r="A23" s="1" t="s">
        <v>607</v>
      </c>
      <c r="B23" s="2" t="s">
        <v>289</v>
      </c>
      <c r="C23" s="6">
        <v>13</v>
      </c>
      <c r="D23" s="2" t="s">
        <v>429</v>
      </c>
      <c r="E23" s="6">
        <v>410</v>
      </c>
      <c r="F23" s="18">
        <v>962.55</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98796.83+42299.36</f>
        <v>141096.19</v>
      </c>
      <c r="G24" s="18">
        <f>12049.8+2018.23</f>
        <v>14068.029999999999</v>
      </c>
      <c r="H24" s="18">
        <f>44614.12+2436.81+113.85</f>
        <v>47164.78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-173.18+10.65</f>
        <v>-162.53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-1542</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6366.16</v>
      </c>
      <c r="H30" s="18">
        <f>10713.48+173.65+51769.45+3393.68</f>
        <v>66050.259999999995</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16313.11</v>
      </c>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-45268.229999999996</v>
      </c>
      <c r="G32" s="41">
        <f>SUM(G22:G31)</f>
        <v>276416.57</v>
      </c>
      <c r="H32" s="41">
        <f>SUM(H22:H31)</f>
        <v>380685.24000000011</v>
      </c>
      <c r="I32" s="41">
        <f>SUM(I22:I31)</f>
        <v>0</v>
      </c>
      <c r="J32" s="41">
        <f>SUM(J22:J31)</f>
        <v>-321398</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1211996.6399999999</v>
      </c>
      <c r="G48" s="18"/>
      <c r="H48" s="18">
        <v>114969.65999999922</v>
      </c>
      <c r="I48" s="18"/>
      <c r="J48" s="13">
        <f>SUM(I460)</f>
        <v>321398</v>
      </c>
      <c r="K48" s="24" t="s">
        <v>288</v>
      </c>
      <c r="L48" s="24" t="s">
        <v>288</v>
      </c>
      <c r="M48" s="8"/>
      <c r="N48" s="264"/>
    </row>
    <row r="49" spans="1:14" s="3" customFormat="1" ht="12.2" customHeight="1" x14ac:dyDescent="0.15">
      <c r="A49" s="1" t="s">
        <v>859</v>
      </c>
      <c r="B49" s="2" t="s">
        <v>289</v>
      </c>
      <c r="C49" s="6">
        <v>34</v>
      </c>
      <c r="D49" s="2"/>
      <c r="E49" s="6">
        <v>753</v>
      </c>
      <c r="F49" s="18">
        <v>311274.18</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1523270.8199999998</v>
      </c>
      <c r="G51" s="41">
        <f>SUM(G35:G50)</f>
        <v>0</v>
      </c>
      <c r="H51" s="41">
        <f>SUM(H35:H50)</f>
        <v>114969.65999999922</v>
      </c>
      <c r="I51" s="41">
        <f>SUM(I35:I50)</f>
        <v>0</v>
      </c>
      <c r="J51" s="41">
        <f>SUM(J35:J50)</f>
        <v>321398</v>
      </c>
      <c r="K51" s="45" t="s">
        <v>288</v>
      </c>
      <c r="L51" s="45" t="s">
        <v>288</v>
      </c>
      <c r="N51" s="262"/>
    </row>
    <row r="52" spans="1:14" s="3" customFormat="1" ht="12.2" customHeight="1" thickTop="1" x14ac:dyDescent="0.15">
      <c r="A52" s="38" t="s">
        <v>455</v>
      </c>
      <c r="B52" s="39" t="s">
        <v>289</v>
      </c>
      <c r="C52" s="6">
        <v>37</v>
      </c>
      <c r="D52" s="39" t="s">
        <v>653</v>
      </c>
      <c r="E52" s="39"/>
      <c r="F52" s="41">
        <f>F51+F32</f>
        <v>1478002.5899999999</v>
      </c>
      <c r="G52" s="41">
        <f>G51+G32</f>
        <v>276416.57</v>
      </c>
      <c r="H52" s="41">
        <f>H51+H32</f>
        <v>495654.89999999932</v>
      </c>
      <c r="I52" s="41">
        <f>I51+I32</f>
        <v>0</v>
      </c>
      <c r="J52" s="41">
        <f>J51+J32</f>
        <v>0</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4467353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4467353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18293.490000000002</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18293.490000000002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2083.65</v>
      </c>
      <c r="G96" s="18">
        <v>38.11</v>
      </c>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f>2700.22-841.96</f>
        <v>1858.2599999999998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600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f>414.22+58411.04+2606.32+7428.73+2121+600+7200</f>
        <v>78781.31</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393.42</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76559.54+148271.68</f>
        <v>224831.21999999997</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227908.28999999998</v>
      </c>
      <c r="G111" s="41">
        <f>SUM(G96:G110)</f>
        <v>1896.3699999999997</v>
      </c>
      <c r="H111" s="41">
        <f>SUM(H96:H110)</f>
        <v>78781.31</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4713554.78</v>
      </c>
      <c r="G112" s="41">
        <f>G60+G111</f>
        <v>1896.3699999999997</v>
      </c>
      <c r="H112" s="41">
        <f>H60+H79+H94+H111</f>
        <v>78781.31</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8701824.3599999994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1201740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39603.919999999998</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9943168.2799999993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81944.160000000003</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152885.28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5122.03</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4062.82</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v>27566.76</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8141.95+2902.86</f>
        <v>11044.81</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f>32682.39+116349.4</f>
        <v>149031.78999999998</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239951.47</v>
      </c>
      <c r="G136" s="41">
        <f>SUM(G123:G135)</f>
        <v>11044.81</v>
      </c>
      <c r="H136" s="41">
        <f>SUM(H123:H135)</f>
        <v>180661.36999999997</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10183119.75</v>
      </c>
      <c r="G140" s="41">
        <f>G121+SUM(G136:G137)</f>
        <v>11044.81</v>
      </c>
      <c r="H140" s="41">
        <f>H121+SUM(H136:H139)</f>
        <v>180661.36999999997</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7708.01+624569.82</f>
        <v>632277.82999999996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11657.49+97298.74+17730.51+314253.55+740+6351.22</f>
        <v>448031.50999999995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415537.2+218682.12+33358.68</f>
        <v>667578.00000000012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6997.52+5162.51+280797.94+5099.69+6000</f>
        <v>304057.66000000003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162931.81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48874.56+77100.27+31249.74+185200</f>
        <v>342424.57</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225894.5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162931.81</v>
      </c>
      <c r="G163" s="41">
        <f>SUM(G150:G162)</f>
        <v>667578.00000000012</v>
      </c>
      <c r="H163" s="41">
        <f>SUM(H150:H162)</f>
        <v>1952686.07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54062.400000000001</v>
      </c>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216994.21</v>
      </c>
      <c r="G170" s="41">
        <f>G147+G163+SUM(G164:G169)</f>
        <v>667578.00000000012</v>
      </c>
      <c r="H170" s="41">
        <f>H147+H163+SUM(H164:H169)</f>
        <v>1952686.07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34638.1</v>
      </c>
      <c r="H180" s="18">
        <v>29087.35</v>
      </c>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55850.44</v>
      </c>
      <c r="G182" s="18">
        <v>38044.129999999997</v>
      </c>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55850.44</v>
      </c>
      <c r="G184" s="41">
        <f>SUM(G180:G183)</f>
        <v>72682.23</v>
      </c>
      <c r="H184" s="41">
        <f>SUM(H180:H183)</f>
        <v>29087.35</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55850.44</v>
      </c>
      <c r="G193" s="41">
        <f>G184+SUM(G189:G192)</f>
        <v>72682.23</v>
      </c>
      <c r="H193" s="41">
        <f>+H184+SUM(H189:H192)</f>
        <v>29087.35</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15169519.180000002</v>
      </c>
      <c r="G194" s="47">
        <f>G112+G140+G170+G193</f>
        <v>753201.41000000015</v>
      </c>
      <c r="H194" s="47">
        <f>H112+H140+H170+H193</f>
        <v>2241216.1</v>
      </c>
      <c r="I194" s="47">
        <f>I112+I140+I170+I193</f>
        <v>0</v>
      </c>
      <c r="J194" s="47">
        <f>J112+J140+J193</f>
        <v>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2088223.3699999999</v>
      </c>
      <c r="G198" s="18">
        <v>1073120.75</v>
      </c>
      <c r="H198" s="18">
        <v>52765.02</v>
      </c>
      <c r="I198" s="18">
        <v>31661.09</v>
      </c>
      <c r="J198" s="18">
        <v>1434.99</v>
      </c>
      <c r="K198" s="18"/>
      <c r="L198" s="19">
        <f>SUM(F198:K198)</f>
        <v>3247205.22</v>
      </c>
      <c r="M198" s="8"/>
      <c r="N198" s="264"/>
    </row>
    <row r="199" spans="1:14" s="3" customFormat="1" ht="12.2" customHeight="1" x14ac:dyDescent="0.15">
      <c r="A199" s="1" t="s">
        <v>439</v>
      </c>
      <c r="B199" s="2" t="s">
        <v>341</v>
      </c>
      <c r="C199" s="2" t="s">
        <v>291</v>
      </c>
      <c r="D199" s="2" t="s">
        <v>431</v>
      </c>
      <c r="E199" s="6">
        <v>1200</v>
      </c>
      <c r="F199" s="18">
        <v>972411.42</v>
      </c>
      <c r="G199" s="18">
        <v>413270.2</v>
      </c>
      <c r="H199" s="18">
        <v>649679.18000000005</v>
      </c>
      <c r="I199" s="18">
        <v>2094.16</v>
      </c>
      <c r="J199" s="18">
        <v>915.06</v>
      </c>
      <c r="K199" s="18">
        <v>376.85</v>
      </c>
      <c r="L199" s="19">
        <f>SUM(F199:K199)</f>
        <v>2038746.8700000003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42073.63</v>
      </c>
      <c r="G201" s="18">
        <v>17061.14</v>
      </c>
      <c r="H201" s="18">
        <v>5086.5</v>
      </c>
      <c r="I201" s="18">
        <v>4245.8500000000004</v>
      </c>
      <c r="J201" s="18">
        <v>2070</v>
      </c>
      <c r="K201" s="18">
        <v>860</v>
      </c>
      <c r="L201" s="19">
        <f>SUM(F201:K201)</f>
        <v>71397.119999999995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519255.41000000003</v>
      </c>
      <c r="G203" s="18">
        <v>236216.09999999998</v>
      </c>
      <c r="H203" s="18">
        <v>630735.52</v>
      </c>
      <c r="I203" s="18">
        <v>6502.65</v>
      </c>
      <c r="J203" s="18"/>
      <c r="K203" s="18">
        <v>493</v>
      </c>
      <c r="L203" s="19">
        <f t="shared" ref="L203:L209" si="0">SUM(F203:K203)</f>
        <v>1393202.68</v>
      </c>
      <c r="M203" s="8"/>
      <c r="N203" s="264"/>
    </row>
    <row r="204" spans="1:14" s="3" customFormat="1" ht="12.2" customHeight="1" x14ac:dyDescent="0.15">
      <c r="A204" s="1" t="s">
        <v>443</v>
      </c>
      <c r="B204" s="2" t="s">
        <v>341</v>
      </c>
      <c r="C204" s="2" t="s">
        <v>295</v>
      </c>
      <c r="D204" s="2" t="s">
        <v>431</v>
      </c>
      <c r="E204" s="6">
        <v>2200</v>
      </c>
      <c r="F204" s="18">
        <v>25023.890000000003</v>
      </c>
      <c r="G204" s="18">
        <v>26735.929999999997</v>
      </c>
      <c r="H204" s="18">
        <v>51365.819999999992</v>
      </c>
      <c r="I204" s="18">
        <v>4977.26</v>
      </c>
      <c r="J204" s="18">
        <v>38083.68</v>
      </c>
      <c r="K204" s="18">
        <v>230.86</v>
      </c>
      <c r="L204" s="19">
        <f t="shared" si="0"/>
        <v>146417.43999999997</v>
      </c>
      <c r="M204" s="8"/>
      <c r="N204" s="264"/>
    </row>
    <row r="205" spans="1:14" s="3" customFormat="1" ht="12.2" customHeight="1" x14ac:dyDescent="0.15">
      <c r="A205" s="1" t="s">
        <v>444</v>
      </c>
      <c r="B205" s="2" t="s">
        <v>341</v>
      </c>
      <c r="C205" s="2" t="s">
        <v>296</v>
      </c>
      <c r="D205" s="2" t="s">
        <v>431</v>
      </c>
      <c r="E205" s="6">
        <v>2300</v>
      </c>
      <c r="F205" s="18">
        <v>148724.46000000002</v>
      </c>
      <c r="G205" s="18">
        <v>45587.490000000005</v>
      </c>
      <c r="H205" s="18">
        <v>47020.73</v>
      </c>
      <c r="I205" s="18">
        <v>2918.65</v>
      </c>
      <c r="J205" s="18">
        <v>230.85</v>
      </c>
      <c r="K205" s="18">
        <v>5668.6</v>
      </c>
      <c r="L205" s="19">
        <f t="shared" si="0"/>
        <v>250150.78000000003</v>
      </c>
      <c r="M205" s="8"/>
      <c r="N205" s="264"/>
    </row>
    <row r="206" spans="1:14" s="3" customFormat="1" ht="12.2" customHeight="1" x14ac:dyDescent="0.15">
      <c r="A206" s="1" t="s">
        <v>445</v>
      </c>
      <c r="B206" s="2" t="s">
        <v>341</v>
      </c>
      <c r="C206" s="2" t="s">
        <v>297</v>
      </c>
      <c r="D206" s="2" t="s">
        <v>431</v>
      </c>
      <c r="E206" s="6">
        <v>2400</v>
      </c>
      <c r="F206" s="18">
        <v>360529.29000000004</v>
      </c>
      <c r="G206" s="18">
        <v>170267.82</v>
      </c>
      <c r="H206" s="18">
        <v>16104.97</v>
      </c>
      <c r="I206" s="18">
        <v>1161.22</v>
      </c>
      <c r="J206" s="18"/>
      <c r="K206" s="18">
        <v>3019.24</v>
      </c>
      <c r="L206" s="19">
        <f t="shared" si="0"/>
        <v>551082.54</v>
      </c>
      <c r="M206" s="8"/>
      <c r="N206" s="264"/>
    </row>
    <row r="207" spans="1:14" s="3" customFormat="1" ht="12.2" customHeight="1" x14ac:dyDescent="0.15">
      <c r="A207" s="1" t="s">
        <v>446</v>
      </c>
      <c r="B207" s="2" t="s">
        <v>341</v>
      </c>
      <c r="C207" s="2" t="s">
        <v>298</v>
      </c>
      <c r="D207" s="2" t="s">
        <v>431</v>
      </c>
      <c r="E207" s="6">
        <v>2500</v>
      </c>
      <c r="F207" s="18">
        <v>134632.22</v>
      </c>
      <c r="G207" s="18">
        <v>61806.19</v>
      </c>
      <c r="H207" s="18"/>
      <c r="I207" s="18"/>
      <c r="J207" s="18"/>
      <c r="K207" s="18"/>
      <c r="L207" s="19">
        <f t="shared" si="0"/>
        <v>196438.41</v>
      </c>
      <c r="M207" s="8"/>
      <c r="N207" s="264"/>
    </row>
    <row r="208" spans="1:14" s="3" customFormat="1" ht="12.2" customHeight="1" x14ac:dyDescent="0.15">
      <c r="A208" s="1" t="s">
        <v>447</v>
      </c>
      <c r="B208" s="2" t="s">
        <v>341</v>
      </c>
      <c r="C208" s="2" t="s">
        <v>299</v>
      </c>
      <c r="D208" s="2" t="s">
        <v>431</v>
      </c>
      <c r="E208" s="6">
        <v>2600</v>
      </c>
      <c r="F208" s="18">
        <v>286251.47000000003</v>
      </c>
      <c r="G208" s="18">
        <v>165377.98000000001</v>
      </c>
      <c r="H208" s="18">
        <v>119198.44</v>
      </c>
      <c r="I208" s="18">
        <v>139526.94</v>
      </c>
      <c r="J208" s="18">
        <v>7194</v>
      </c>
      <c r="K208" s="18"/>
      <c r="L208" s="19">
        <f t="shared" si="0"/>
        <v>717548.83000000007</v>
      </c>
      <c r="M208" s="8"/>
      <c r="N208" s="264"/>
    </row>
    <row r="209" spans="1:14" s="3" customFormat="1" ht="12.2" customHeight="1" x14ac:dyDescent="0.15">
      <c r="A209" s="1" t="s">
        <v>448</v>
      </c>
      <c r="B209" s="2" t="s">
        <v>341</v>
      </c>
      <c r="C209" s="2" t="s">
        <v>300</v>
      </c>
      <c r="D209" s="2" t="s">
        <v>431</v>
      </c>
      <c r="E209" s="6">
        <v>2700</v>
      </c>
      <c r="F209" s="18"/>
      <c r="G209" s="18"/>
      <c r="H209" s="18">
        <v>358271.76999999996</v>
      </c>
      <c r="I209" s="18">
        <v>10201.51</v>
      </c>
      <c r="J209" s="18"/>
      <c r="K209" s="18"/>
      <c r="L209" s="19">
        <f t="shared" si="0"/>
        <v>368473.27999999997</v>
      </c>
      <c r="M209" s="8"/>
      <c r="N209" s="264"/>
    </row>
    <row r="210" spans="1:14" s="3" customFormat="1" ht="12.2" customHeight="1" x14ac:dyDescent="0.15">
      <c r="A210" s="1" t="s">
        <v>449</v>
      </c>
      <c r="B210" s="2" t="s">
        <v>341</v>
      </c>
      <c r="C210" s="2" t="s">
        <v>343</v>
      </c>
      <c r="D210" s="2" t="s">
        <v>431</v>
      </c>
      <c r="E210" s="6">
        <v>2800</v>
      </c>
      <c r="F210" s="18">
        <v>109319</v>
      </c>
      <c r="G210" s="18">
        <v>51018.49</v>
      </c>
      <c r="H210" s="18"/>
      <c r="I210" s="18"/>
      <c r="J210" s="18"/>
      <c r="K210" s="18"/>
      <c r="L210" s="19">
        <f>SUM(F210:K210)</f>
        <v>160337.49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4686444.16</v>
      </c>
      <c r="G212" s="41">
        <f t="shared" si="1"/>
        <v>2260462.0900000003</v>
      </c>
      <c r="H212" s="41">
        <f t="shared" si="1"/>
        <v>1930227.9500000002</v>
      </c>
      <c r="I212" s="41">
        <f t="shared" si="1"/>
        <v>203289.33000000002</v>
      </c>
      <c r="J212" s="41">
        <f t="shared" si="1"/>
        <v>49928.58</v>
      </c>
      <c r="K212" s="41">
        <f t="shared" si="1"/>
        <v>10648.55</v>
      </c>
      <c r="L212" s="41">
        <f t="shared" si="1"/>
        <v>9141000.6600000001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1041301.29</v>
      </c>
      <c r="G234" s="18">
        <v>490740.4</v>
      </c>
      <c r="H234" s="18">
        <v>48929.3</v>
      </c>
      <c r="I234" s="18">
        <v>23940.09</v>
      </c>
      <c r="J234" s="18">
        <v>3361.19</v>
      </c>
      <c r="K234" s="18">
        <v>4009</v>
      </c>
      <c r="L234" s="19">
        <f>SUM(F234:K234)</f>
        <v>1612281.27</v>
      </c>
      <c r="M234" s="8"/>
      <c r="N234" s="264"/>
    </row>
    <row r="235" spans="1:14" s="3" customFormat="1" ht="12.2" customHeight="1" x14ac:dyDescent="0.15">
      <c r="A235" s="1" t="s">
        <v>439</v>
      </c>
      <c r="B235" s="2" t="s">
        <v>350</v>
      </c>
      <c r="C235" s="2" t="s">
        <v>291</v>
      </c>
      <c r="D235" s="2" t="s">
        <v>431</v>
      </c>
      <c r="E235" s="6">
        <v>1200</v>
      </c>
      <c r="F235" s="18">
        <v>353906.76999999996</v>
      </c>
      <c r="G235" s="18">
        <v>159215.46</v>
      </c>
      <c r="H235" s="18">
        <v>336292.11</v>
      </c>
      <c r="I235" s="18">
        <v>1317.2399999999998</v>
      </c>
      <c r="J235" s="18">
        <v>255.43</v>
      </c>
      <c r="K235" s="18">
        <v>178.16</v>
      </c>
      <c r="L235" s="19">
        <f>SUM(F235:K235)</f>
        <v>851165.17</v>
      </c>
      <c r="M235" s="8"/>
      <c r="N235" s="264"/>
    </row>
    <row r="236" spans="1:14" s="3" customFormat="1" ht="12.2" customHeight="1" x14ac:dyDescent="0.15">
      <c r="A236" s="1" t="s">
        <v>440</v>
      </c>
      <c r="B236" s="2" t="s">
        <v>350</v>
      </c>
      <c r="C236" s="2" t="s">
        <v>292</v>
      </c>
      <c r="D236" s="2" t="s">
        <v>431</v>
      </c>
      <c r="E236" s="6">
        <v>1300</v>
      </c>
      <c r="F236" s="18"/>
      <c r="G236" s="18"/>
      <c r="H236" s="18">
        <v>54736.81</v>
      </c>
      <c r="I236" s="18"/>
      <c r="J236" s="18"/>
      <c r="K236" s="18"/>
      <c r="L236" s="19">
        <f>SUM(F236:K236)</f>
        <v>54736.81</v>
      </c>
      <c r="M236" s="8"/>
      <c r="N236" s="264"/>
    </row>
    <row r="237" spans="1:14" s="3" customFormat="1" ht="12.2" customHeight="1" x14ac:dyDescent="0.15">
      <c r="A237" s="1" t="s">
        <v>441</v>
      </c>
      <c r="B237" s="2" t="s">
        <v>350</v>
      </c>
      <c r="C237" s="2" t="s">
        <v>293</v>
      </c>
      <c r="D237" s="2" t="s">
        <v>431</v>
      </c>
      <c r="E237" s="6">
        <v>1400</v>
      </c>
      <c r="F237" s="18">
        <v>82564</v>
      </c>
      <c r="G237" s="18">
        <v>29825.13</v>
      </c>
      <c r="H237" s="18">
        <v>17797.8</v>
      </c>
      <c r="I237" s="18">
        <v>15523.45</v>
      </c>
      <c r="J237" s="18">
        <v>14754.51</v>
      </c>
      <c r="K237" s="18">
        <v>8478.99</v>
      </c>
      <c r="L237" s="19">
        <f>SUM(F237:K237)</f>
        <v>168943.88</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276810.25</v>
      </c>
      <c r="G239" s="18">
        <v>130448.78</v>
      </c>
      <c r="H239" s="18">
        <v>117206.14</v>
      </c>
      <c r="I239" s="18">
        <v>3998.78</v>
      </c>
      <c r="J239" s="18"/>
      <c r="K239" s="18">
        <v>224</v>
      </c>
      <c r="L239" s="19">
        <f t="shared" ref="L239:L245" si="4">SUM(F239:K239)</f>
        <v>528687.95000000007</v>
      </c>
      <c r="M239" s="8"/>
      <c r="N239" s="264"/>
    </row>
    <row r="240" spans="1:14" s="3" customFormat="1" ht="12.2" customHeight="1" x14ac:dyDescent="0.15">
      <c r="A240" s="1" t="s">
        <v>443</v>
      </c>
      <c r="B240" s="2" t="s">
        <v>350</v>
      </c>
      <c r="C240" s="2" t="s">
        <v>295</v>
      </c>
      <c r="D240" s="2" t="s">
        <v>431</v>
      </c>
      <c r="E240" s="6">
        <v>2200</v>
      </c>
      <c r="F240" s="18">
        <v>69714.41</v>
      </c>
      <c r="G240" s="18">
        <v>45501.66</v>
      </c>
      <c r="H240" s="18">
        <v>29784.76</v>
      </c>
      <c r="I240" s="18">
        <v>7009.4600000000009</v>
      </c>
      <c r="J240" s="18">
        <v>40644.379999999997</v>
      </c>
      <c r="K240" s="18">
        <v>109.14</v>
      </c>
      <c r="L240" s="19">
        <f t="shared" si="4"/>
        <v>192763.81000000003</v>
      </c>
      <c r="M240" s="8"/>
      <c r="N240" s="264"/>
    </row>
    <row r="241" spans="1:14" s="3" customFormat="1" ht="12.2" customHeight="1" x14ac:dyDescent="0.15">
      <c r="A241" s="1" t="s">
        <v>444</v>
      </c>
      <c r="B241" s="2" t="s">
        <v>350</v>
      </c>
      <c r="C241" s="2" t="s">
        <v>296</v>
      </c>
      <c r="D241" s="2" t="s">
        <v>431</v>
      </c>
      <c r="E241" s="6">
        <v>2300</v>
      </c>
      <c r="F241" s="18">
        <v>70310.09</v>
      </c>
      <c r="G241" s="18">
        <v>21551.670000000002</v>
      </c>
      <c r="H241" s="18">
        <v>22229.239999999998</v>
      </c>
      <c r="I241" s="18">
        <v>1379.8</v>
      </c>
      <c r="J241" s="18">
        <v>109.14</v>
      </c>
      <c r="K241" s="18">
        <v>2679.85</v>
      </c>
      <c r="L241" s="19">
        <f t="shared" si="4"/>
        <v>118259.79000000001</v>
      </c>
      <c r="M241" s="8"/>
      <c r="N241" s="264"/>
    </row>
    <row r="242" spans="1:14" s="3" customFormat="1" ht="12.2" customHeight="1" x14ac:dyDescent="0.15">
      <c r="A242" s="1" t="s">
        <v>445</v>
      </c>
      <c r="B242" s="2" t="s">
        <v>350</v>
      </c>
      <c r="C242" s="2" t="s">
        <v>297</v>
      </c>
      <c r="D242" s="2" t="s">
        <v>431</v>
      </c>
      <c r="E242" s="6">
        <v>2400</v>
      </c>
      <c r="F242" s="18">
        <v>199576.39</v>
      </c>
      <c r="G242" s="18">
        <v>77734.5</v>
      </c>
      <c r="H242" s="18">
        <v>10211.290000000001</v>
      </c>
      <c r="I242" s="18">
        <v>408.13</v>
      </c>
      <c r="J242" s="18"/>
      <c r="K242" s="18">
        <v>8319.07</v>
      </c>
      <c r="L242" s="19">
        <f t="shared" si="4"/>
        <v>296249.38</v>
      </c>
      <c r="M242" s="8"/>
      <c r="N242" s="264"/>
    </row>
    <row r="243" spans="1:14" s="3" customFormat="1" ht="12.2" customHeight="1" x14ac:dyDescent="0.15">
      <c r="A243" s="1" t="s">
        <v>446</v>
      </c>
      <c r="B243" s="2" t="s">
        <v>350</v>
      </c>
      <c r="C243" s="2" t="s">
        <v>298</v>
      </c>
      <c r="D243" s="2" t="s">
        <v>431</v>
      </c>
      <c r="E243" s="6">
        <v>2500</v>
      </c>
      <c r="F243" s="18">
        <v>63647.93</v>
      </c>
      <c r="G243" s="18">
        <v>29219.119999999999</v>
      </c>
      <c r="H243" s="18"/>
      <c r="I243" s="18"/>
      <c r="J243" s="18"/>
      <c r="K243" s="18"/>
      <c r="L243" s="19">
        <f t="shared" si="4"/>
        <v>92867.05</v>
      </c>
      <c r="M243" s="8"/>
      <c r="N243" s="264"/>
    </row>
    <row r="244" spans="1:14" s="3" customFormat="1" ht="12.2" customHeight="1" x14ac:dyDescent="0.15">
      <c r="A244" s="1" t="s">
        <v>447</v>
      </c>
      <c r="B244" s="2" t="s">
        <v>350</v>
      </c>
      <c r="C244" s="2" t="s">
        <v>299</v>
      </c>
      <c r="D244" s="2" t="s">
        <v>431</v>
      </c>
      <c r="E244" s="6">
        <v>2600</v>
      </c>
      <c r="F244" s="18">
        <v>168663.06999999998</v>
      </c>
      <c r="G244" s="18">
        <v>79229.78</v>
      </c>
      <c r="H244" s="18">
        <f>80997.24+2631.62</f>
        <v>83628.86</v>
      </c>
      <c r="I244" s="18">
        <v>104034.88</v>
      </c>
      <c r="J244" s="18">
        <v>642.24</v>
      </c>
      <c r="K244" s="18"/>
      <c r="L244" s="19">
        <f t="shared" si="4"/>
        <v>436198.82999999996</v>
      </c>
      <c r="M244" s="8"/>
      <c r="N244" s="264"/>
    </row>
    <row r="245" spans="1:14" s="3" customFormat="1" ht="12.2" customHeight="1" x14ac:dyDescent="0.15">
      <c r="A245" s="1" t="s">
        <v>448</v>
      </c>
      <c r="B245" s="2" t="s">
        <v>350</v>
      </c>
      <c r="C245" s="2" t="s">
        <v>300</v>
      </c>
      <c r="D245" s="2" t="s">
        <v>431</v>
      </c>
      <c r="E245" s="6">
        <v>2700</v>
      </c>
      <c r="F245" s="18"/>
      <c r="G245" s="18"/>
      <c r="H245" s="18">
        <v>248534.25999999998</v>
      </c>
      <c r="I245" s="18">
        <v>4822.8100000000004</v>
      </c>
      <c r="J245" s="18"/>
      <c r="K245" s="18"/>
      <c r="L245" s="19">
        <f t="shared" si="4"/>
        <v>253357.06999999998</v>
      </c>
      <c r="M245" s="8"/>
      <c r="N245" s="264"/>
    </row>
    <row r="246" spans="1:14" s="3" customFormat="1" ht="12.2" customHeight="1" x14ac:dyDescent="0.15">
      <c r="A246" s="1" t="s">
        <v>449</v>
      </c>
      <c r="B246" s="2" t="s">
        <v>350</v>
      </c>
      <c r="C246" s="2" t="s">
        <v>343</v>
      </c>
      <c r="D246" s="2" t="s">
        <v>431</v>
      </c>
      <c r="E246" s="6">
        <v>2800</v>
      </c>
      <c r="F246" s="18">
        <v>51681</v>
      </c>
      <c r="G246" s="18">
        <v>24119.200000000001</v>
      </c>
      <c r="H246" s="18"/>
      <c r="I246" s="18"/>
      <c r="J246" s="18"/>
      <c r="K246" s="18"/>
      <c r="L246" s="19">
        <f>SUM(F246:K246)</f>
        <v>75800.2</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2378175.2000000002</v>
      </c>
      <c r="G248" s="41">
        <f t="shared" si="5"/>
        <v>1087585.7</v>
      </c>
      <c r="H248" s="41">
        <f t="shared" si="5"/>
        <v>969350.57</v>
      </c>
      <c r="I248" s="41">
        <f t="shared" si="5"/>
        <v>162434.64000000001</v>
      </c>
      <c r="J248" s="41">
        <f t="shared" si="5"/>
        <v>59766.889999999992</v>
      </c>
      <c r="K248" s="41">
        <f t="shared" si="5"/>
        <v>23998.21</v>
      </c>
      <c r="L248" s="41">
        <f t="shared" si="5"/>
        <v>4681311.21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14347.5</v>
      </c>
      <c r="G252" s="18">
        <v>5487.27</v>
      </c>
      <c r="H252" s="18"/>
      <c r="I252" s="18">
        <v>1637.8</v>
      </c>
      <c r="J252" s="18"/>
      <c r="K252" s="18"/>
      <c r="L252" s="19">
        <f t="shared" si="6"/>
        <v>21472.57</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14347.5</v>
      </c>
      <c r="G257" s="41">
        <f t="shared" si="7"/>
        <v>5487.27</v>
      </c>
      <c r="H257" s="41">
        <f t="shared" si="7"/>
        <v>0</v>
      </c>
      <c r="I257" s="41">
        <f t="shared" si="7"/>
        <v>1637.8</v>
      </c>
      <c r="J257" s="41">
        <f t="shared" si="7"/>
        <v>0</v>
      </c>
      <c r="K257" s="41">
        <f t="shared" si="7"/>
        <v>0</v>
      </c>
      <c r="L257" s="41">
        <f>SUM(F257:K257)</f>
        <v>21472.57</v>
      </c>
      <c r="M257" s="8"/>
      <c r="N257" s="264"/>
    </row>
    <row r="258" spans="1:14" s="3" customFormat="1" ht="12.2" customHeight="1" thickTop="1" x14ac:dyDescent="0.15">
      <c r="A258" s="38" t="s">
        <v>462</v>
      </c>
      <c r="B258" s="40">
        <v>10</v>
      </c>
      <c r="C258" s="40">
        <v>8</v>
      </c>
      <c r="D258" s="39" t="s">
        <v>431</v>
      </c>
      <c r="E258" s="40"/>
      <c r="F258" s="41">
        <f t="shared" ref="F258:L258" si="8">F212+F230+F248+F257</f>
        <v>7078966.8600000003</v>
      </c>
      <c r="G258" s="41">
        <f t="shared" si="8"/>
        <v>3353535.06</v>
      </c>
      <c r="H258" s="41">
        <f t="shared" si="8"/>
        <v>2899578.52</v>
      </c>
      <c r="I258" s="41">
        <f t="shared" si="8"/>
        <v>367361.77</v>
      </c>
      <c r="J258" s="41">
        <f t="shared" si="8"/>
        <v>109695.47</v>
      </c>
      <c r="K258" s="41">
        <f t="shared" si="8"/>
        <v>34646.759999999995</v>
      </c>
      <c r="L258" s="41">
        <f t="shared" si="8"/>
        <v>13843784.440000001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214619.37</v>
      </c>
      <c r="L261" s="19">
        <f>SUM(F261:K261)</f>
        <v>214619.37</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104104.92</v>
      </c>
      <c r="L262" s="19">
        <f>SUM(F262:K262)</f>
        <v>104104.92</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34638.1</v>
      </c>
      <c r="L264" s="19">
        <f>SUM(F264:K264)</f>
        <v>34638.1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f>31718.97-2631.62</f>
        <v>29087.350000000002</v>
      </c>
      <c r="L265" s="19">
        <f t="shared" ref="L265:L271" si="9">SUM(F265:K265)</f>
        <v>29087.350000000002</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382449.73999999993</v>
      </c>
      <c r="L271" s="41">
        <f t="shared" si="9"/>
        <v>382449.73999999993</v>
      </c>
      <c r="M271" s="8"/>
      <c r="N271" s="264"/>
    </row>
    <row r="272" spans="1:14" s="34" customFormat="1" ht="12.2" customHeight="1" thickTop="1" x14ac:dyDescent="0.2">
      <c r="A272" s="43" t="s">
        <v>464</v>
      </c>
      <c r="B272" s="40">
        <v>10</v>
      </c>
      <c r="C272" s="40">
        <v>18</v>
      </c>
      <c r="D272" s="39" t="s">
        <v>431</v>
      </c>
      <c r="E272" s="40"/>
      <c r="F272" s="42">
        <f t="shared" ref="F272:L272" si="11">F258+F271</f>
        <v>7078966.8600000003</v>
      </c>
      <c r="G272" s="42">
        <f t="shared" si="11"/>
        <v>3353535.06</v>
      </c>
      <c r="H272" s="42">
        <f t="shared" si="11"/>
        <v>2899578.52</v>
      </c>
      <c r="I272" s="42">
        <f t="shared" si="11"/>
        <v>367361.77</v>
      </c>
      <c r="J272" s="42">
        <f t="shared" si="11"/>
        <v>109695.47</v>
      </c>
      <c r="K272" s="42">
        <f t="shared" si="11"/>
        <v>417096.49999999994</v>
      </c>
      <c r="L272" s="42">
        <f t="shared" si="11"/>
        <v>14226234.180000002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174614.82+184938.48</f>
        <v>359553.30000000005</v>
      </c>
      <c r="G277" s="18">
        <f>68787.21+88994.73</f>
        <v>157781.94</v>
      </c>
      <c r="H277" s="18">
        <f>315.2+600+255.17</f>
        <v>1170.3700000000001</v>
      </c>
      <c r="I277" s="18">
        <f>1771.03+10339.18+6567.5+1325.69+9612.5+3984.75+66116.85</f>
        <v>99717.5</v>
      </c>
      <c r="J277" s="18">
        <f>2148+2148+115437.75</f>
        <v>119733.75</v>
      </c>
      <c r="K277" s="18"/>
      <c r="L277" s="19">
        <f>SUM(F277:K277)</f>
        <v>737956.8600000001</v>
      </c>
      <c r="M277" s="8"/>
      <c r="N277" s="264"/>
    </row>
    <row r="278" spans="1:14" s="3" customFormat="1" ht="12.2" customHeight="1" x14ac:dyDescent="0.15">
      <c r="A278" s="1" t="s">
        <v>439</v>
      </c>
      <c r="B278" s="2" t="s">
        <v>357</v>
      </c>
      <c r="C278" s="2" t="s">
        <v>291</v>
      </c>
      <c r="D278" s="2" t="s">
        <v>431</v>
      </c>
      <c r="E278" s="6">
        <v>1200</v>
      </c>
      <c r="F278" s="18">
        <v>127201.83</v>
      </c>
      <c r="G278" s="18">
        <v>58042.17</v>
      </c>
      <c r="H278" s="18">
        <v>14724.47</v>
      </c>
      <c r="I278" s="18">
        <v>795.41</v>
      </c>
      <c r="J278" s="18"/>
      <c r="K278" s="18"/>
      <c r="L278" s="19">
        <f>SUM(F278:K278)</f>
        <v>200763.88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f>5875</f>
        <v>5875</v>
      </c>
      <c r="G280" s="18">
        <f>1495.2+30</f>
        <v>1525.2</v>
      </c>
      <c r="H280" s="18"/>
      <c r="I280" s="18">
        <f>654.31+495.09+2306.56+54.37</f>
        <v>3510.33</v>
      </c>
      <c r="J280" s="18"/>
      <c r="K280" s="18"/>
      <c r="L280" s="19">
        <f>SUM(F280:K280)</f>
        <v>10910.529999999999</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138248.57+1851.93</f>
        <v>140100.5</v>
      </c>
      <c r="G282" s="18">
        <f>471.2+17001.13</f>
        <v>17472.330000000002</v>
      </c>
      <c r="H282" s="18">
        <v>11518.9</v>
      </c>
      <c r="I282" s="18">
        <f>26912.58</f>
        <v>26912.58</v>
      </c>
      <c r="J282" s="18">
        <v>6695.71</v>
      </c>
      <c r="K282" s="18"/>
      <c r="L282" s="19">
        <f t="shared" ref="L282:L288" si="12">SUM(F282:K282)</f>
        <v>202700.02</v>
      </c>
      <c r="M282" s="8"/>
      <c r="N282" s="264"/>
    </row>
    <row r="283" spans="1:14" s="3" customFormat="1" ht="12.2" customHeight="1" x14ac:dyDescent="0.15">
      <c r="A283" s="1" t="s">
        <v>443</v>
      </c>
      <c r="B283" s="2" t="s">
        <v>357</v>
      </c>
      <c r="C283" s="2" t="s">
        <v>295</v>
      </c>
      <c r="D283" s="2" t="s">
        <v>431</v>
      </c>
      <c r="E283" s="6">
        <v>2200</v>
      </c>
      <c r="F283" s="18">
        <f>57548.78+8400.72</f>
        <v>65949.5</v>
      </c>
      <c r="G283" s="18">
        <f>14802.85+2149.92</f>
        <v>16952.77</v>
      </c>
      <c r="H283" s="18">
        <f>7384.13+29230.95+7207.59+631.47</f>
        <v>44454.14</v>
      </c>
      <c r="I283" s="18">
        <f>16847.04+224.07</f>
        <v>17071.11</v>
      </c>
      <c r="J283" s="18"/>
      <c r="K283" s="18"/>
      <c r="L283" s="19">
        <f t="shared" si="12"/>
        <v>144427.52000000002</v>
      </c>
      <c r="M283" s="8"/>
      <c r="N283" s="264"/>
    </row>
    <row r="284" spans="1:14" s="3" customFormat="1" ht="12.2" customHeight="1" x14ac:dyDescent="0.15">
      <c r="A284" s="1" t="s">
        <v>444</v>
      </c>
      <c r="B284" s="2" t="s">
        <v>357</v>
      </c>
      <c r="C284" s="2" t="s">
        <v>296</v>
      </c>
      <c r="D284" s="2" t="s">
        <v>431</v>
      </c>
      <c r="E284" s="6">
        <v>2300</v>
      </c>
      <c r="F284" s="18">
        <v>64460.77</v>
      </c>
      <c r="G284" s="18">
        <v>25378.799999999999</v>
      </c>
      <c r="H284" s="18">
        <v>21931.22</v>
      </c>
      <c r="I284" s="18">
        <v>13239.18</v>
      </c>
      <c r="J284" s="18"/>
      <c r="K284" s="18"/>
      <c r="L284" s="19">
        <f t="shared" si="12"/>
        <v>125009.97</v>
      </c>
      <c r="M284" s="8"/>
      <c r="N284" s="264"/>
    </row>
    <row r="285" spans="1:14" s="3" customFormat="1" ht="12.2" customHeight="1" x14ac:dyDescent="0.15">
      <c r="A285" s="1" t="s">
        <v>445</v>
      </c>
      <c r="B285" s="2" t="s">
        <v>357</v>
      </c>
      <c r="C285" s="2" t="s">
        <v>297</v>
      </c>
      <c r="D285" s="2" t="s">
        <v>431</v>
      </c>
      <c r="E285" s="6">
        <v>2400</v>
      </c>
      <c r="F285" s="18"/>
      <c r="G285" s="18"/>
      <c r="H285" s="18">
        <v>2596.39</v>
      </c>
      <c r="I285" s="18"/>
      <c r="J285" s="18"/>
      <c r="K285" s="18"/>
      <c r="L285" s="19">
        <f t="shared" si="12"/>
        <v>2596.39</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32106.25</v>
      </c>
      <c r="G287" s="18">
        <v>13328.2</v>
      </c>
      <c r="H287" s="18">
        <f>20661.75+49692.27</f>
        <v>70354.01999999999</v>
      </c>
      <c r="I287" s="18">
        <v>583.97</v>
      </c>
      <c r="J287" s="18">
        <f>34463.32+45061.84</f>
        <v>79525.16</v>
      </c>
      <c r="K287" s="18"/>
      <c r="L287" s="19">
        <f t="shared" si="12"/>
        <v>195897.59999999998</v>
      </c>
      <c r="M287" s="8"/>
      <c r="N287" s="264"/>
    </row>
    <row r="288" spans="1:14" s="3" customFormat="1" ht="12.2" customHeight="1" x14ac:dyDescent="0.15">
      <c r="A288" s="1" t="s">
        <v>448</v>
      </c>
      <c r="B288" s="2" t="s">
        <v>357</v>
      </c>
      <c r="C288" s="2" t="s">
        <v>300</v>
      </c>
      <c r="D288" s="2" t="s">
        <v>431</v>
      </c>
      <c r="E288" s="6">
        <v>2700</v>
      </c>
      <c r="F288" s="18"/>
      <c r="G288" s="18"/>
      <c r="H288" s="18">
        <v>6593.09</v>
      </c>
      <c r="I288" s="18"/>
      <c r="J288" s="18"/>
      <c r="K288" s="18"/>
      <c r="L288" s="19">
        <f t="shared" si="12"/>
        <v>6593.09</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795247.15000000014</v>
      </c>
      <c r="G291" s="42">
        <f t="shared" si="13"/>
        <v>290481.41000000003</v>
      </c>
      <c r="H291" s="42">
        <f t="shared" si="13"/>
        <v>173342.6</v>
      </c>
      <c r="I291" s="42">
        <f t="shared" si="13"/>
        <v>161830.07999999999</v>
      </c>
      <c r="J291" s="42">
        <f t="shared" si="13"/>
        <v>205954.62</v>
      </c>
      <c r="K291" s="42">
        <f t="shared" si="13"/>
        <v>0</v>
      </c>
      <c r="L291" s="41">
        <f t="shared" si="13"/>
        <v>1626855.86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f>673+77+120.64</f>
        <v>870.64</v>
      </c>
      <c r="I315" s="18">
        <f>83.05+31257.01</f>
        <v>31340.059999999998</v>
      </c>
      <c r="J315" s="18">
        <f>3222+9673.88+54573.67</f>
        <v>67469.55</v>
      </c>
      <c r="K315" s="18"/>
      <c r="L315" s="19">
        <f>SUM(F315:K315)</f>
        <v>99680.25</v>
      </c>
      <c r="M315" s="8"/>
      <c r="N315" s="264"/>
    </row>
    <row r="316" spans="1:14" s="3" customFormat="1" ht="12.2" customHeight="1" x14ac:dyDescent="0.15">
      <c r="A316" s="1" t="s">
        <v>439</v>
      </c>
      <c r="B316" s="2" t="s">
        <v>359</v>
      </c>
      <c r="C316" s="2" t="s">
        <v>291</v>
      </c>
      <c r="D316" s="2" t="s">
        <v>431</v>
      </c>
      <c r="E316" s="6">
        <v>1200</v>
      </c>
      <c r="F316" s="18">
        <v>60135.18</v>
      </c>
      <c r="G316" s="18">
        <f>27439.67</f>
        <v>27439.67</v>
      </c>
      <c r="H316" s="18">
        <v>6961.06</v>
      </c>
      <c r="I316" s="18">
        <v>376.04</v>
      </c>
      <c r="J316" s="18"/>
      <c r="K316" s="18"/>
      <c r="L316" s="19">
        <f>SUM(F316:K316)</f>
        <v>94911.95</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1500</v>
      </c>
      <c r="G318" s="18">
        <v>282.3</v>
      </c>
      <c r="H318" s="18"/>
      <c r="I318" s="18">
        <f>2562.82+1090.44</f>
        <v>3653.26</v>
      </c>
      <c r="J318" s="18"/>
      <c r="K318" s="18"/>
      <c r="L318" s="19">
        <f>SUM(F318:K318)</f>
        <v>5435.56</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5044.09+65357.57</f>
        <v>70401.66</v>
      </c>
      <c r="G320" s="18">
        <f>1272.44+8037.36</f>
        <v>9309.7999999999993</v>
      </c>
      <c r="H320" s="18">
        <f>1500+5445.6</f>
        <v>6945.6</v>
      </c>
      <c r="I320" s="18">
        <f>2236.33+12723.03</f>
        <v>14959.36</v>
      </c>
      <c r="J320" s="18">
        <f>369.99+3165.43</f>
        <v>3535.42</v>
      </c>
      <c r="K320" s="18"/>
      <c r="L320" s="19">
        <f t="shared" ref="L320:L326" si="16">SUM(F320:K320)</f>
        <v>105151.84000000001</v>
      </c>
      <c r="M320" s="8"/>
      <c r="N320" s="264"/>
    </row>
    <row r="321" spans="1:14" s="3" customFormat="1" ht="12.2" customHeight="1" x14ac:dyDescent="0.15">
      <c r="A321" s="1" t="s">
        <v>443</v>
      </c>
      <c r="B321" s="2" t="s">
        <v>359</v>
      </c>
      <c r="C321" s="2" t="s">
        <v>295</v>
      </c>
      <c r="D321" s="2" t="s">
        <v>431</v>
      </c>
      <c r="E321" s="6">
        <v>2200</v>
      </c>
      <c r="F321" s="18">
        <f>27206.42+3971.48</f>
        <v>31177.899999999998</v>
      </c>
      <c r="G321" s="18">
        <f>6998.11+1016.39</f>
        <v>8014.5</v>
      </c>
      <c r="H321" s="18">
        <f>3490.88+13819.05+3407.42+298.53</f>
        <v>21015.879999999997</v>
      </c>
      <c r="I321" s="18">
        <f>7964.5+105.93</f>
        <v>8070.43</v>
      </c>
      <c r="J321" s="18"/>
      <c r="K321" s="18"/>
      <c r="L321" s="19">
        <f t="shared" si="16"/>
        <v>68278.709999999992</v>
      </c>
      <c r="M321" s="8"/>
      <c r="N321" s="264"/>
    </row>
    <row r="322" spans="1:14" s="3" customFormat="1" ht="12.2" customHeight="1" x14ac:dyDescent="0.15">
      <c r="A322" s="1" t="s">
        <v>444</v>
      </c>
      <c r="B322" s="2" t="s">
        <v>359</v>
      </c>
      <c r="C322" s="2" t="s">
        <v>296</v>
      </c>
      <c r="D322" s="2" t="s">
        <v>431</v>
      </c>
      <c r="E322" s="6">
        <v>2300</v>
      </c>
      <c r="F322" s="18">
        <v>30474.09</v>
      </c>
      <c r="G322" s="18">
        <v>11997.93</v>
      </c>
      <c r="H322" s="18">
        <v>10368.07</v>
      </c>
      <c r="I322" s="18">
        <v>6258.88</v>
      </c>
      <c r="J322" s="18"/>
      <c r="K322" s="18"/>
      <c r="L322" s="19">
        <f t="shared" si="16"/>
        <v>59098.97</v>
      </c>
      <c r="M322" s="8"/>
      <c r="N322" s="264"/>
    </row>
    <row r="323" spans="1:14" s="3" customFormat="1" ht="12.2" customHeight="1" x14ac:dyDescent="0.15">
      <c r="A323" s="1" t="s">
        <v>445</v>
      </c>
      <c r="B323" s="2" t="s">
        <v>359</v>
      </c>
      <c r="C323" s="2" t="s">
        <v>297</v>
      </c>
      <c r="D323" s="2" t="s">
        <v>431</v>
      </c>
      <c r="E323" s="6">
        <v>2400</v>
      </c>
      <c r="F323" s="18"/>
      <c r="G323" s="18"/>
      <c r="H323" s="18">
        <v>1227.45</v>
      </c>
      <c r="I323" s="18"/>
      <c r="J323" s="18"/>
      <c r="K323" s="18"/>
      <c r="L323" s="19">
        <f t="shared" si="16"/>
        <v>1227.45</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9767.92</v>
      </c>
      <c r="I325" s="18">
        <v>23492.22</v>
      </c>
      <c r="J325" s="18">
        <f>25091.76+21303.17</f>
        <v>46394.929999999993</v>
      </c>
      <c r="K325" s="18"/>
      <c r="L325" s="19">
        <f t="shared" si="16"/>
        <v>79655.069999999992</v>
      </c>
      <c r="M325" s="8"/>
      <c r="N325" s="264"/>
    </row>
    <row r="326" spans="1:14" s="3" customFormat="1" ht="12.2" customHeight="1" x14ac:dyDescent="0.15">
      <c r="A326" s="1" t="s">
        <v>448</v>
      </c>
      <c r="B326" s="2" t="s">
        <v>359</v>
      </c>
      <c r="C326" s="2" t="s">
        <v>300</v>
      </c>
      <c r="D326" s="2" t="s">
        <v>431</v>
      </c>
      <c r="E326" s="6">
        <v>2700</v>
      </c>
      <c r="F326" s="18"/>
      <c r="G326" s="18"/>
      <c r="H326" s="18">
        <v>3116.91</v>
      </c>
      <c r="I326" s="18">
        <v>276.07</v>
      </c>
      <c r="J326" s="18"/>
      <c r="K326" s="18"/>
      <c r="L326" s="19">
        <f t="shared" si="16"/>
        <v>3392.98</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193688.83</v>
      </c>
      <c r="G329" s="42">
        <f t="shared" si="17"/>
        <v>57044.2</v>
      </c>
      <c r="H329" s="42">
        <f t="shared" si="17"/>
        <v>60273.53</v>
      </c>
      <c r="I329" s="42">
        <f t="shared" si="17"/>
        <v>88426.32</v>
      </c>
      <c r="J329" s="42">
        <f t="shared" si="17"/>
        <v>117399.9</v>
      </c>
      <c r="K329" s="42">
        <f t="shared" si="17"/>
        <v>0</v>
      </c>
      <c r="L329" s="41">
        <f t="shared" si="17"/>
        <v>516832.78</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f>2240+22650</f>
        <v>24890</v>
      </c>
      <c r="G334" s="18">
        <f>214.28+8.88+4076.67</f>
        <v>4299.83</v>
      </c>
      <c r="H334" s="18"/>
      <c r="I334" s="18"/>
      <c r="J334" s="18"/>
      <c r="K334" s="18"/>
      <c r="L334" s="19">
        <f t="shared" si="18"/>
        <v>29189.83</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24890</v>
      </c>
      <c r="G338" s="41">
        <f t="shared" si="19"/>
        <v>4299.83</v>
      </c>
      <c r="H338" s="41">
        <f t="shared" si="19"/>
        <v>0</v>
      </c>
      <c r="I338" s="41">
        <f t="shared" si="19"/>
        <v>0</v>
      </c>
      <c r="J338" s="41">
        <f t="shared" si="19"/>
        <v>0</v>
      </c>
      <c r="K338" s="41">
        <f t="shared" si="19"/>
        <v>0</v>
      </c>
      <c r="L338" s="41">
        <f t="shared" si="18"/>
        <v>29189.83</v>
      </c>
      <c r="M338" s="8"/>
      <c r="N338" s="264"/>
    </row>
    <row r="339" spans="1:43" s="3" customFormat="1" ht="12.2" customHeight="1" thickTop="1" x14ac:dyDescent="0.15">
      <c r="A339" s="38" t="s">
        <v>468</v>
      </c>
      <c r="B339" s="40">
        <v>14</v>
      </c>
      <c r="C339" s="40">
        <v>7</v>
      </c>
      <c r="D339" s="39" t="s">
        <v>431</v>
      </c>
      <c r="E339" s="40"/>
      <c r="F339" s="41">
        <f t="shared" ref="F339:L339" si="20">F291+F310+F329+F338</f>
        <v>1013825.9800000001</v>
      </c>
      <c r="G339" s="41">
        <f t="shared" si="20"/>
        <v>351825.44000000006</v>
      </c>
      <c r="H339" s="41">
        <f t="shared" si="20"/>
        <v>233616.13</v>
      </c>
      <c r="I339" s="41">
        <f t="shared" si="20"/>
        <v>250256.4</v>
      </c>
      <c r="J339" s="41">
        <f t="shared" si="20"/>
        <v>323354.52</v>
      </c>
      <c r="K339" s="41">
        <f t="shared" si="20"/>
        <v>0</v>
      </c>
      <c r="L339" s="41">
        <f t="shared" si="20"/>
        <v>2172878.4700000002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55850.46</v>
      </c>
      <c r="L345" s="19">
        <f t="shared" ref="L345:L351" si="21">SUM(F345:K345)</f>
        <v>55850.46</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38044.129999999997</v>
      </c>
      <c r="L346" s="19">
        <f t="shared" si="21"/>
        <v>38044.129999999997</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93894.59</v>
      </c>
      <c r="L352" s="41">
        <f>SUM(L342:L351)</f>
        <v>93894.59</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1013825.9800000001</v>
      </c>
      <c r="G353" s="41">
        <f>G339</f>
        <v>351825.44000000006</v>
      </c>
      <c r="H353" s="41">
        <f>H339</f>
        <v>233616.13</v>
      </c>
      <c r="I353" s="41">
        <f>I339</f>
        <v>250256.4</v>
      </c>
      <c r="J353" s="41">
        <f>J339</f>
        <v>323354.52</v>
      </c>
      <c r="K353" s="47">
        <f>K339+K352</f>
        <v>93894.59</v>
      </c>
      <c r="L353" s="41">
        <f>L339+L352</f>
        <v>2266773.06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61086.95+70402.68+47485.65+11822.13</f>
        <v>190797.41</v>
      </c>
      <c r="G359" s="18">
        <f>13543.16+582.05+37.89+165.4+3517.87+4478.09+855.02+1235.13+700+14+4847.89+2439.69+1588.57+18965.18+944.79+45.19+5385.82+2995.23+1474.55+1957.57</f>
        <v>65773.090000000011</v>
      </c>
      <c r="H359" s="18">
        <f>1406.96+5528.36+12052.26</f>
        <v>18987.580000000002</v>
      </c>
      <c r="I359" s="18">
        <f>4000+4589.08+16000+186193.08+22337.16+1172.63</f>
        <v>234291.94999999998</v>
      </c>
      <c r="J359" s="18">
        <v>6669.14</v>
      </c>
      <c r="K359" s="18">
        <v>475.3</v>
      </c>
      <c r="L359" s="13">
        <f>SUM(F359:K359)</f>
        <v>516994.47000000003</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f>68113.51+22449.04+5588.96</f>
        <v>96151.51</v>
      </c>
      <c r="G361" s="18">
        <f>6402.56+275.17+17.91+78.2+1663.09+2117.03+404.21+583.91+8062.2+402.12+16.8+5207.12+636.46+1771.3+925.45</f>
        <v>28563.529999999995</v>
      </c>
      <c r="H361" s="18">
        <f>665.14+2613.56+5697.76</f>
        <v>8976.4599999999991</v>
      </c>
      <c r="I361" s="18">
        <f>10559.98+88023.53+554.37</f>
        <v>99137.87999999999</v>
      </c>
      <c r="J361" s="18">
        <v>3152.86</v>
      </c>
      <c r="K361" s="18">
        <v>224.7</v>
      </c>
      <c r="L361" s="19">
        <f>SUM(F361:K361)</f>
        <v>236206.94</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286948.92</v>
      </c>
      <c r="G363" s="47">
        <f t="shared" si="22"/>
        <v>94336.62000000001</v>
      </c>
      <c r="H363" s="47">
        <f t="shared" si="22"/>
        <v>27964.04</v>
      </c>
      <c r="I363" s="47">
        <f t="shared" si="22"/>
        <v>333429.82999999996</v>
      </c>
      <c r="J363" s="47">
        <f t="shared" si="22"/>
        <v>9822</v>
      </c>
      <c r="K363" s="47">
        <f t="shared" si="22"/>
        <v>700</v>
      </c>
      <c r="L363" s="47">
        <f t="shared" si="22"/>
        <v>753201.41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4000+4589.08+16000+186193.08</f>
        <v>210782.15999999997</v>
      </c>
      <c r="G368" s="18"/>
      <c r="H368" s="18">
        <v>88023.53</v>
      </c>
      <c r="I368" s="56">
        <f>SUM(F368:H368)</f>
        <v>298805.68999999994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22337.16+1172.63</f>
        <v>23509.79</v>
      </c>
      <c r="G369" s="63"/>
      <c r="H369" s="63">
        <f>10559.98+554.37</f>
        <v>11114.35</v>
      </c>
      <c r="I369" s="56">
        <f>SUM(F369:H369)</f>
        <v>34624.14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234291.94999999998</v>
      </c>
      <c r="G370" s="47">
        <f>SUM(G368:G369)</f>
        <v>0</v>
      </c>
      <c r="H370" s="47">
        <f>SUM(H368:H369)</f>
        <v>99137.88</v>
      </c>
      <c r="I370" s="47">
        <f>SUM(I368:I369)</f>
        <v>333429.82999999996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-321398</v>
      </c>
      <c r="G449" s="18"/>
      <c r="H449" s="18"/>
      <c r="I449" s="56">
        <f>SUM(F449:H449)</f>
        <v>-321398</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-321398</v>
      </c>
      <c r="G453" s="72">
        <f>SUM(G449:G452)</f>
        <v>0</v>
      </c>
      <c r="H453" s="72">
        <f>SUM(H449:H452)</f>
        <v>0</v>
      </c>
      <c r="I453" s="72">
        <f>SUM(I449:I452)</f>
        <v>-321398</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321398</v>
      </c>
      <c r="G460" s="18"/>
      <c r="H460" s="18"/>
      <c r="I460" s="56">
        <f t="shared" si="34"/>
        <v>321398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321398</v>
      </c>
      <c r="G461" s="83">
        <f>SUM(G455:G460)</f>
        <v>0</v>
      </c>
      <c r="H461" s="83">
        <f>SUM(H455:H460)</f>
        <v>0</v>
      </c>
      <c r="I461" s="83">
        <f>SUM(I455:I460)</f>
        <v>321398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579985.82000000216</v>
      </c>
      <c r="G466" s="18">
        <v>0</v>
      </c>
      <c r="H466" s="18">
        <v>140526.61999999918</v>
      </c>
      <c r="I466" s="18">
        <v>0</v>
      </c>
      <c r="J466" s="18">
        <v>321398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15169519.18</v>
      </c>
      <c r="G469" s="18">
        <f>715157.28+38044.13</f>
        <v>753201.41</v>
      </c>
      <c r="H469" s="18">
        <v>2241216.1</v>
      </c>
      <c r="I469" s="18"/>
      <c r="J469" s="18"/>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15169519.18</v>
      </c>
      <c r="G471" s="53">
        <f>SUM(G469:G470)</f>
        <v>753201.41</v>
      </c>
      <c r="H471" s="53">
        <f>SUM(H469:H470)</f>
        <v>2241216.1</v>
      </c>
      <c r="I471" s="53">
        <f>SUM(I469:I470)</f>
        <v>0</v>
      </c>
      <c r="J471" s="53">
        <f>SUM(J469:J470)</f>
        <v>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14226234.18</v>
      </c>
      <c r="G473" s="18">
        <f>715157.28+38044.13</f>
        <v>753201.41</v>
      </c>
      <c r="H473" s="18">
        <v>2266773.06</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14226234.18</v>
      </c>
      <c r="G475" s="53">
        <f>SUM(G473:G474)</f>
        <v>753201.41</v>
      </c>
      <c r="H475" s="53">
        <f>SUM(H473:H474)</f>
        <v>2266773.06</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1523270.8200000022</v>
      </c>
      <c r="G477" s="53">
        <f>(G466+G471)- G475</f>
        <v>0</v>
      </c>
      <c r="H477" s="53">
        <f>(H466+H471)- H475</f>
        <v>114969.65999999922</v>
      </c>
      <c r="I477" s="53">
        <f>(I466+I471)- I475</f>
        <v>0</v>
      </c>
      <c r="J477" s="53">
        <f>(J466+J471)- J475</f>
        <v>321398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t="s">
        <v>1674</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t="s">
        <v>1676</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2700000</v>
      </c>
      <c r="G494" s="18">
        <v>2000000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4.26</v>
      </c>
      <c r="G495" s="18">
        <v>3.55</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1012446.67</v>
      </c>
      <c r="G496" s="18">
        <v>1928907</v>
      </c>
      <c r="H496" s="18"/>
      <c r="I496" s="18"/>
      <c r="J496" s="18"/>
      <c r="K496" s="53">
        <f>SUM(F496:J496)</f>
        <v>2941353.67</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142105.26</v>
      </c>
      <c r="G498" s="18">
        <v>72514.11</v>
      </c>
      <c r="H498" s="18"/>
      <c r="I498" s="18"/>
      <c r="J498" s="18"/>
      <c r="K498" s="53">
        <f t="shared" si="35"/>
        <v>214619.37</v>
      </c>
      <c r="L498" s="24" t="s">
        <v>288</v>
      </c>
      <c r="N498" s="263"/>
    </row>
    <row r="499" spans="1:14" s="52" customFormat="1" ht="12.2" customHeight="1" x14ac:dyDescent="0.2">
      <c r="A499" s="200" t="s">
        <v>622</v>
      </c>
      <c r="B499" s="201">
        <v>20</v>
      </c>
      <c r="C499" s="202">
        <v>9</v>
      </c>
      <c r="D499" s="203" t="s">
        <v>432</v>
      </c>
      <c r="E499" s="202"/>
      <c r="F499" s="204">
        <f>F496-F498</f>
        <v>870341.41</v>
      </c>
      <c r="G499" s="204">
        <f>G496-G498</f>
        <v>1856392.89</v>
      </c>
      <c r="H499" s="204"/>
      <c r="I499" s="204"/>
      <c r="J499" s="204"/>
      <c r="K499" s="205">
        <f t="shared" si="35"/>
        <v>2726734.3</v>
      </c>
      <c r="L499" s="206" t="s">
        <v>288</v>
      </c>
      <c r="N499" s="263"/>
    </row>
    <row r="500" spans="1:14" s="52" customFormat="1" ht="12.2" customHeight="1" thickBot="1" x14ac:dyDescent="0.25">
      <c r="A500" s="22" t="s">
        <v>623</v>
      </c>
      <c r="B500" s="75">
        <v>20</v>
      </c>
      <c r="C500" s="115">
        <v>10</v>
      </c>
      <c r="D500" s="2" t="s">
        <v>432</v>
      </c>
      <c r="E500" s="115"/>
      <c r="F500" s="18">
        <v>84658.63</v>
      </c>
      <c r="G500" s="18">
        <v>696697.67</v>
      </c>
      <c r="H500" s="18"/>
      <c r="I500" s="18"/>
      <c r="J500" s="18"/>
      <c r="K500" s="53">
        <f t="shared" si="35"/>
        <v>781356.3</v>
      </c>
      <c r="L500" s="24" t="s">
        <v>288</v>
      </c>
      <c r="N500" s="263"/>
    </row>
    <row r="501" spans="1:14" s="52" customFormat="1" ht="12.2" customHeight="1" thickTop="1" x14ac:dyDescent="0.2">
      <c r="A501" s="139" t="s">
        <v>624</v>
      </c>
      <c r="B501" s="44">
        <v>20</v>
      </c>
      <c r="C501" s="195">
        <v>11</v>
      </c>
      <c r="D501" s="39" t="s">
        <v>432</v>
      </c>
      <c r="E501" s="195"/>
      <c r="F501" s="42">
        <f>SUM(F499:F500)</f>
        <v>955000.04</v>
      </c>
      <c r="G501" s="42">
        <f>SUM(G499:G500)</f>
        <v>2553090.56</v>
      </c>
      <c r="H501" s="42">
        <f>SUM(H499:H500)</f>
        <v>0</v>
      </c>
      <c r="I501" s="42">
        <f>SUM(I499:I500)</f>
        <v>0</v>
      </c>
      <c r="J501" s="42">
        <f>SUM(J499:J500)</f>
        <v>0</v>
      </c>
      <c r="K501" s="42">
        <f t="shared" si="35"/>
        <v>3508090.6</v>
      </c>
      <c r="L501" s="45" t="s">
        <v>288</v>
      </c>
      <c r="N501" s="263"/>
    </row>
    <row r="502" spans="1:14" s="52" customFormat="1" ht="12.2" customHeight="1" x14ac:dyDescent="0.2">
      <c r="A502" s="200" t="s">
        <v>651</v>
      </c>
      <c r="B502" s="201">
        <v>20</v>
      </c>
      <c r="C502" s="202">
        <v>12</v>
      </c>
      <c r="D502" s="203" t="s">
        <v>432</v>
      </c>
      <c r="E502" s="202"/>
      <c r="F502" s="204">
        <v>142105.26</v>
      </c>
      <c r="G502" s="204">
        <v>75225.88</v>
      </c>
      <c r="H502" s="204"/>
      <c r="I502" s="204"/>
      <c r="J502" s="204"/>
      <c r="K502" s="205">
        <f t="shared" si="35"/>
        <v>217331.14</v>
      </c>
      <c r="L502" s="206" t="s">
        <v>288</v>
      </c>
      <c r="N502" s="263"/>
    </row>
    <row r="503" spans="1:14" s="52" customFormat="1" ht="12.2" customHeight="1" thickBot="1" x14ac:dyDescent="0.25">
      <c r="A503" s="22" t="s">
        <v>625</v>
      </c>
      <c r="B503" s="75">
        <v>20</v>
      </c>
      <c r="C503" s="115">
        <v>13</v>
      </c>
      <c r="D503" s="2" t="s">
        <v>432</v>
      </c>
      <c r="E503" s="115"/>
      <c r="F503" s="18">
        <v>28958</v>
      </c>
      <c r="G503" s="18">
        <v>66667.12</v>
      </c>
      <c r="H503" s="18"/>
      <c r="I503" s="18"/>
      <c r="J503" s="18"/>
      <c r="K503" s="53">
        <f t="shared" si="35"/>
        <v>95625.12</v>
      </c>
      <c r="L503" s="24" t="s">
        <v>288</v>
      </c>
      <c r="N503" s="263"/>
    </row>
    <row r="504" spans="1:14" s="52" customFormat="1" ht="12.2" customHeight="1" thickTop="1" x14ac:dyDescent="0.2">
      <c r="A504" s="139" t="s">
        <v>626</v>
      </c>
      <c r="B504" s="44">
        <v>20</v>
      </c>
      <c r="C504" s="195">
        <v>14</v>
      </c>
      <c r="D504" s="39" t="s">
        <v>432</v>
      </c>
      <c r="E504" s="195"/>
      <c r="F504" s="42">
        <f>SUM(F502:F503)</f>
        <v>171063.26</v>
      </c>
      <c r="G504" s="42">
        <f>SUM(G502:G503)</f>
        <v>141893</v>
      </c>
      <c r="H504" s="42">
        <f>SUM(H502:H503)</f>
        <v>0</v>
      </c>
      <c r="I504" s="42">
        <f>SUM(I502:I503)</f>
        <v>0</v>
      </c>
      <c r="J504" s="42">
        <f>SUM(J502:J503)</f>
        <v>0</v>
      </c>
      <c r="K504" s="42">
        <f t="shared" si="35"/>
        <v>312956.26</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1099613.25-F532</f>
        <v>984296.8</v>
      </c>
      <c r="G522" s="18">
        <f>471312.37-G532</f>
        <v>415959.16</v>
      </c>
      <c r="H522" s="18">
        <v>664403.65</v>
      </c>
      <c r="I522" s="18">
        <v>2889.5699999999997</v>
      </c>
      <c r="J522" s="18">
        <v>915.06</v>
      </c>
      <c r="K522" s="18">
        <v>376.85</v>
      </c>
      <c r="L522" s="88">
        <f>SUM(F522:K522)</f>
        <v>2068841.09</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414041.95-F534</f>
        <v>359525.63</v>
      </c>
      <c r="G524" s="18">
        <f>186655.13-G534</f>
        <v>160486.67000000001</v>
      </c>
      <c r="H524" s="18">
        <v>343253.17</v>
      </c>
      <c r="I524" s="18">
        <v>1693.2799999999997</v>
      </c>
      <c r="J524" s="18">
        <v>255.43</v>
      </c>
      <c r="K524" s="18">
        <v>178.16</v>
      </c>
      <c r="L524" s="88">
        <f>SUM(F524:K524)</f>
        <v>865392.34000000008</v>
      </c>
      <c r="N524" s="263"/>
    </row>
    <row r="525" spans="1:14" s="52" customFormat="1" ht="12.2" customHeight="1" thickTop="1" x14ac:dyDescent="0.2">
      <c r="A525" s="139" t="s">
        <v>63</v>
      </c>
      <c r="B525" s="107">
        <v>21</v>
      </c>
      <c r="C525" s="195">
        <v>4</v>
      </c>
      <c r="D525" s="196" t="s">
        <v>432</v>
      </c>
      <c r="E525" s="195"/>
      <c r="F525" s="108">
        <f>SUM(F522:F524)</f>
        <v>1343822.4300000002</v>
      </c>
      <c r="G525" s="108">
        <f t="shared" ref="G525:L525" si="36">SUM(G522:G524)</f>
        <v>576445.82999999996</v>
      </c>
      <c r="H525" s="108">
        <f t="shared" si="36"/>
        <v>1007656.8200000001</v>
      </c>
      <c r="I525" s="108">
        <f t="shared" si="36"/>
        <v>4582.8499999999995</v>
      </c>
      <c r="J525" s="108">
        <f t="shared" si="36"/>
        <v>1170.49</v>
      </c>
      <c r="K525" s="108">
        <f t="shared" si="36"/>
        <v>555.01</v>
      </c>
      <c r="L525" s="89">
        <f t="shared" si="36"/>
        <v>2934233.43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313554.9436</v>
      </c>
      <c r="G527" s="18">
        <v>144166.21421199999</v>
      </c>
      <c r="H527" s="18">
        <v>630735.52142999996</v>
      </c>
      <c r="I527" s="18">
        <v>5428.8552899999995</v>
      </c>
      <c r="J527" s="18">
        <v>0</v>
      </c>
      <c r="K527" s="18">
        <v>197.20000000000002</v>
      </c>
      <c r="L527" s="88">
        <f>SUM(F527:K527)</f>
        <v>1094082.734532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124240.3124</v>
      </c>
      <c r="G529" s="18">
        <v>58513.309787999999</v>
      </c>
      <c r="H529" s="18">
        <v>116701.20856999999</v>
      </c>
      <c r="I529" s="18">
        <v>2778.5167099999999</v>
      </c>
      <c r="J529" s="18">
        <v>0</v>
      </c>
      <c r="K529" s="18">
        <v>89.600000000000009</v>
      </c>
      <c r="L529" s="88">
        <f>SUM(F529:K529)</f>
        <v>302322.947468</v>
      </c>
      <c r="M529" s="8"/>
      <c r="N529" s="264"/>
    </row>
    <row r="530" spans="1:14" s="3" customFormat="1" ht="12.2" customHeight="1" thickTop="1" x14ac:dyDescent="0.15">
      <c r="A530" s="139" t="s">
        <v>65</v>
      </c>
      <c r="B530" s="107">
        <v>21</v>
      </c>
      <c r="C530" s="107">
        <v>8</v>
      </c>
      <c r="D530" s="158" t="s">
        <v>432</v>
      </c>
      <c r="E530" s="107"/>
      <c r="F530" s="89">
        <f>SUM(F527:F529)</f>
        <v>437795.25599999999</v>
      </c>
      <c r="G530" s="89">
        <f t="shared" ref="G530:L530" si="37">SUM(G527:G529)</f>
        <v>202679.52399999998</v>
      </c>
      <c r="H530" s="89">
        <f t="shared" si="37"/>
        <v>747436.73</v>
      </c>
      <c r="I530" s="89">
        <f t="shared" si="37"/>
        <v>8207.3719999999994</v>
      </c>
      <c r="J530" s="89">
        <f t="shared" si="37"/>
        <v>0</v>
      </c>
      <c r="K530" s="89">
        <f t="shared" si="37"/>
        <v>286.8</v>
      </c>
      <c r="L530" s="89">
        <f t="shared" si="37"/>
        <v>1396405.682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115316.45</v>
      </c>
      <c r="G532" s="18">
        <v>55353.21</v>
      </c>
      <c r="H532" s="18"/>
      <c r="I532" s="18"/>
      <c r="J532" s="18"/>
      <c r="K532" s="18"/>
      <c r="L532" s="88">
        <f>SUM(F532:K532)</f>
        <v>170669.66</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54516.32</v>
      </c>
      <c r="G534" s="18">
        <v>26168.46</v>
      </c>
      <c r="H534" s="18"/>
      <c r="I534" s="18"/>
      <c r="J534" s="18"/>
      <c r="K534" s="18"/>
      <c r="L534" s="88">
        <f>SUM(F534:K534)</f>
        <v>80684.78</v>
      </c>
      <c r="M534" s="8"/>
      <c r="N534" s="264"/>
    </row>
    <row r="535" spans="1:14" s="3" customFormat="1" ht="12.2" customHeight="1" thickTop="1" x14ac:dyDescent="0.15">
      <c r="A535" s="139" t="s">
        <v>67</v>
      </c>
      <c r="B535" s="107">
        <v>21</v>
      </c>
      <c r="C535" s="107">
        <v>12</v>
      </c>
      <c r="D535" s="158" t="s">
        <v>432</v>
      </c>
      <c r="E535" s="107"/>
      <c r="F535" s="89">
        <f>SUM(F532:F534)</f>
        <v>169832.77</v>
      </c>
      <c r="G535" s="89">
        <f t="shared" ref="G535:L535" si="38">SUM(G532:G534)</f>
        <v>81521.67</v>
      </c>
      <c r="H535" s="89">
        <f t="shared" si="38"/>
        <v>0</v>
      </c>
      <c r="I535" s="89">
        <f t="shared" si="38"/>
        <v>0</v>
      </c>
      <c r="J535" s="89">
        <f t="shared" si="38"/>
        <v>0</v>
      </c>
      <c r="K535" s="89">
        <f t="shared" si="38"/>
        <v>0</v>
      </c>
      <c r="L535" s="89">
        <f t="shared" si="38"/>
        <v>251354.44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2051.0300000000002</v>
      </c>
      <c r="I537" s="18"/>
      <c r="J537" s="18"/>
      <c r="K537" s="18"/>
      <c r="L537" s="88">
        <f>SUM(F537:K537)</f>
        <v>2051.0300000000002</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v>969.63</v>
      </c>
      <c r="I539" s="18"/>
      <c r="J539" s="18"/>
      <c r="K539" s="18"/>
      <c r="L539" s="88">
        <f>SUM(F539:K539)</f>
        <v>969.63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3020.6600000000003</v>
      </c>
      <c r="I540" s="89">
        <f t="shared" si="39"/>
        <v>0</v>
      </c>
      <c r="J540" s="89">
        <f t="shared" si="39"/>
        <v>0</v>
      </c>
      <c r="K540" s="89">
        <f t="shared" si="39"/>
        <v>0</v>
      </c>
      <c r="L540" s="89">
        <f t="shared" si="39"/>
        <v>3020.6600000000003</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180035.5</v>
      </c>
      <c r="I542" s="18"/>
      <c r="J542" s="18"/>
      <c r="K542" s="18"/>
      <c r="L542" s="88">
        <f>SUM(F542:K542)</f>
        <v>180035.5</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108983.67999999999</v>
      </c>
      <c r="I544" s="18"/>
      <c r="J544" s="18"/>
      <c r="K544" s="18"/>
      <c r="L544" s="88">
        <f>SUM(F544:K544)</f>
        <v>108983.67999999999</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289019.18</v>
      </c>
      <c r="I545" s="193">
        <f t="shared" si="40"/>
        <v>0</v>
      </c>
      <c r="J545" s="193">
        <f t="shared" si="40"/>
        <v>0</v>
      </c>
      <c r="K545" s="193">
        <f t="shared" si="40"/>
        <v>0</v>
      </c>
      <c r="L545" s="193">
        <f t="shared" si="40"/>
        <v>289019.18</v>
      </c>
      <c r="M545" s="8"/>
      <c r="N545" s="264"/>
    </row>
    <row r="546" spans="1:14" s="3" customFormat="1" ht="12.2" customHeight="1" thickTop="1" x14ac:dyDescent="0.15">
      <c r="A546" s="98" t="s">
        <v>72</v>
      </c>
      <c r="B546" s="107">
        <v>21</v>
      </c>
      <c r="C546" s="107">
        <v>21</v>
      </c>
      <c r="D546" s="158" t="s">
        <v>432</v>
      </c>
      <c r="E546" s="107"/>
      <c r="F546" s="89">
        <f>F525+F530+F535+F540+F545</f>
        <v>1951450.4560000002</v>
      </c>
      <c r="G546" s="89">
        <f t="shared" ref="G546:L546" si="41">G525+G530+G535+G540+G545</f>
        <v>860647.02399999998</v>
      </c>
      <c r="H546" s="89">
        <f t="shared" si="41"/>
        <v>2047133.39</v>
      </c>
      <c r="I546" s="89">
        <f t="shared" si="41"/>
        <v>12790.221999999998</v>
      </c>
      <c r="J546" s="89">
        <f t="shared" si="41"/>
        <v>1170.49</v>
      </c>
      <c r="K546" s="89">
        <f t="shared" si="41"/>
        <v>841.81</v>
      </c>
      <c r="L546" s="89">
        <f t="shared" si="41"/>
        <v>4874033.392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2068841.09</v>
      </c>
      <c r="G550" s="87">
        <f>L527</f>
        <v>1094082.734532</v>
      </c>
      <c r="H550" s="87">
        <f>L532</f>
        <v>170669.66</v>
      </c>
      <c r="I550" s="87">
        <f>L537</f>
        <v>2051.0300000000002</v>
      </c>
      <c r="J550" s="87">
        <f>L542</f>
        <v>180035.5</v>
      </c>
      <c r="K550" s="87">
        <f>SUM(F550:J550)</f>
        <v>3515680.0145320003</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865392.34000000008</v>
      </c>
      <c r="G552" s="87">
        <f>L529</f>
        <v>302322.947468</v>
      </c>
      <c r="H552" s="87">
        <f>L534</f>
        <v>80684.78</v>
      </c>
      <c r="I552" s="87">
        <f>L539</f>
        <v>969.63</v>
      </c>
      <c r="J552" s="87">
        <f>L544</f>
        <v>108983.67999999999</v>
      </c>
      <c r="K552" s="87">
        <f>SUM(F552:J552)</f>
        <v>1358353.3774679999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2934233.43</v>
      </c>
      <c r="G553" s="89">
        <f t="shared" si="42"/>
        <v>1396405.682</v>
      </c>
      <c r="H553" s="89">
        <f t="shared" si="42"/>
        <v>251354.44</v>
      </c>
      <c r="I553" s="89">
        <f t="shared" si="42"/>
        <v>3020.6600000000003</v>
      </c>
      <c r="J553" s="89">
        <f t="shared" si="42"/>
        <v>289019.18</v>
      </c>
      <c r="K553" s="89">
        <f t="shared" si="42"/>
        <v>4874033.392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756.17</v>
      </c>
      <c r="G563" s="18">
        <v>66.47</v>
      </c>
      <c r="H563" s="18"/>
      <c r="I563" s="18"/>
      <c r="J563" s="18"/>
      <c r="K563" s="18"/>
      <c r="L563" s="88">
        <f>SUM(F563:K563)</f>
        <v>822.64</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v>357.48</v>
      </c>
      <c r="G565" s="18">
        <v>31.43</v>
      </c>
      <c r="H565" s="18"/>
      <c r="I565" s="18"/>
      <c r="J565" s="18"/>
      <c r="K565" s="18"/>
      <c r="L565" s="88">
        <f>SUM(F565:K565)</f>
        <v>388.91</v>
      </c>
      <c r="M565" s="8"/>
      <c r="N565" s="264"/>
    </row>
    <row r="566" spans="1:14" s="3" customFormat="1" ht="12.2" customHeight="1" thickTop="1" x14ac:dyDescent="0.15">
      <c r="A566" s="139" t="s">
        <v>65</v>
      </c>
      <c r="B566" s="107">
        <v>22</v>
      </c>
      <c r="C566" s="107">
        <v>8</v>
      </c>
      <c r="D566" s="196" t="s">
        <v>432</v>
      </c>
      <c r="E566" s="107"/>
      <c r="F566" s="89">
        <f t="shared" ref="F566:L566" si="44">SUM(F563:F565)</f>
        <v>1113.6500000000001</v>
      </c>
      <c r="G566" s="89">
        <f t="shared" si="44"/>
        <v>97.9</v>
      </c>
      <c r="H566" s="89">
        <f t="shared" si="44"/>
        <v>0</v>
      </c>
      <c r="I566" s="89">
        <f t="shared" si="44"/>
        <v>0</v>
      </c>
      <c r="J566" s="89">
        <f t="shared" si="44"/>
        <v>0</v>
      </c>
      <c r="K566" s="89">
        <f t="shared" si="44"/>
        <v>0</v>
      </c>
      <c r="L566" s="89">
        <f t="shared" si="44"/>
        <v>1211.55</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1113.6500000000001</v>
      </c>
      <c r="G572" s="89">
        <f t="shared" ref="G572:L572" si="46">G561+G566+G571</f>
        <v>97.9</v>
      </c>
      <c r="H572" s="89">
        <f t="shared" si="46"/>
        <v>0</v>
      </c>
      <c r="I572" s="89">
        <f t="shared" si="46"/>
        <v>0</v>
      </c>
      <c r="J572" s="89">
        <f t="shared" si="46"/>
        <v>0</v>
      </c>
      <c r="K572" s="89">
        <f t="shared" si="46"/>
        <v>0</v>
      </c>
      <c r="L572" s="89">
        <f t="shared" si="46"/>
        <v>1211.55</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v>9805</v>
      </c>
      <c r="I579" s="87">
        <f t="shared" si="47"/>
        <v>9805</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66744.490000000005</v>
      </c>
      <c r="G580" s="18"/>
      <c r="H580" s="18"/>
      <c r="I580" s="87">
        <f t="shared" si="47"/>
        <v>66744.490000000005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278998.99+135352.38</f>
        <v>414351.37</v>
      </c>
      <c r="G583" s="18"/>
      <c r="H583" s="18">
        <f>146794.46+140796.48</f>
        <v>287590.94</v>
      </c>
      <c r="I583" s="87">
        <f t="shared" si="47"/>
        <v>701942.31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54736.81</v>
      </c>
      <c r="I585" s="87">
        <f t="shared" si="47"/>
        <v>54736.81</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168828.6+10201.51</f>
        <v>179030.11000000002</v>
      </c>
      <c r="I592" s="18"/>
      <c r="J592" s="18">
        <f>79814.4+4822.81</f>
        <v>84637.209999999992</v>
      </c>
      <c r="K592" s="104">
        <f t="shared" ref="K592:K598" si="48">SUM(H592:J592)</f>
        <v>263667.32</v>
      </c>
      <c r="L592" s="24" t="s">
        <v>288</v>
      </c>
      <c r="M592" s="8"/>
      <c r="N592" s="264"/>
    </row>
    <row r="593" spans="1:14" s="3" customFormat="1" ht="12.2" customHeight="1" x14ac:dyDescent="0.15">
      <c r="A593" s="3" t="s">
        <v>638</v>
      </c>
      <c r="B593" s="75">
        <v>23</v>
      </c>
      <c r="C593" s="75">
        <v>2</v>
      </c>
      <c r="D593" s="2" t="s">
        <v>432</v>
      </c>
      <c r="E593" s="75"/>
      <c r="F593" s="102">
        <v>2722</v>
      </c>
      <c r="G593" s="103" t="s">
        <v>97</v>
      </c>
      <c r="H593" s="18">
        <f>51427.48+10367.5+118240.52</f>
        <v>180035.5</v>
      </c>
      <c r="I593" s="18"/>
      <c r="J593" s="18">
        <f>53085+55898.68</f>
        <v>108983.67999999999</v>
      </c>
      <c r="K593" s="104">
        <f t="shared" si="48"/>
        <v>289019.18</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49728.6</v>
      </c>
      <c r="K594" s="104">
        <f t="shared" si="48"/>
        <v>49728.6</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3984.68</v>
      </c>
      <c r="I595" s="18"/>
      <c r="J595" s="18">
        <v>7443.84</v>
      </c>
      <c r="K595" s="104">
        <f t="shared" si="48"/>
        <v>11428.52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5422.99</v>
      </c>
      <c r="I598" s="18"/>
      <c r="J598" s="18">
        <v>2563.7399999999998</v>
      </c>
      <c r="K598" s="104">
        <f t="shared" si="48"/>
        <v>7986.73</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368473.27999999997</v>
      </c>
      <c r="I599" s="108">
        <f>SUM(I592:I598)</f>
        <v>0</v>
      </c>
      <c r="J599" s="108">
        <f>SUM(J592:J598)</f>
        <v>253357.06999999998</v>
      </c>
      <c r="K599" s="108">
        <f>SUM(K592:K598)</f>
        <v>621830.35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49928.58+205954.62</f>
        <v>255883.2</v>
      </c>
      <c r="I605" s="18"/>
      <c r="J605" s="18">
        <f>59766.89+117399.9</f>
        <v>177166.78999999998</v>
      </c>
      <c r="K605" s="104">
        <f>SUM(H605:J605)</f>
        <v>433049.99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255883.2</v>
      </c>
      <c r="I606" s="108">
        <f>SUM(I603:I605)</f>
        <v>0</v>
      </c>
      <c r="J606" s="108">
        <f>SUM(J603:J605)</f>
        <v>177166.78999999998</v>
      </c>
      <c r="K606" s="108">
        <f>SUM(K603:K605)</f>
        <v>433049.99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5875</v>
      </c>
      <c r="G612" s="18">
        <f>449.45+1045.75+30</f>
        <v>1525.2</v>
      </c>
      <c r="H612" s="18"/>
      <c r="I612" s="18">
        <f>73.46+421.63+654.31+54.37</f>
        <v>1203.7699999999998</v>
      </c>
      <c r="J612" s="18"/>
      <c r="K612" s="18"/>
      <c r="L612" s="88">
        <f>SUM(F612:K612)</f>
        <v>8603.9699999999993</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5875</v>
      </c>
      <c r="G615" s="108">
        <f t="shared" si="49"/>
        <v>1525.2</v>
      </c>
      <c r="H615" s="108">
        <f t="shared" si="49"/>
        <v>0</v>
      </c>
      <c r="I615" s="108">
        <f t="shared" si="49"/>
        <v>1203.7699999999998</v>
      </c>
      <c r="J615" s="108">
        <f t="shared" si="49"/>
        <v>0</v>
      </c>
      <c r="K615" s="108">
        <f t="shared" si="49"/>
        <v>0</v>
      </c>
      <c r="L615" s="89">
        <f t="shared" si="49"/>
        <v>8603.9699999999993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1478002.5899999999</v>
      </c>
      <c r="H618" s="109">
        <f>SUM(F52)</f>
        <v>1478002.5899999999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276416.57</v>
      </c>
      <c r="H619" s="109">
        <f>SUM(G52)</f>
        <v>276416.57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495654.9</v>
      </c>
      <c r="H620" s="109">
        <f>SUM(H52)</f>
        <v>495654.89999999932</v>
      </c>
      <c r="I620" s="121" t="s">
        <v>877</v>
      </c>
      <c r="J620" s="109">
        <f>G620-H620</f>
        <v>6.9849193096160889E-10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1523270.8199999998</v>
      </c>
      <c r="H623" s="109">
        <f>F477</f>
        <v>1523270.8200000022</v>
      </c>
      <c r="I623" s="121" t="s">
        <v>101</v>
      </c>
      <c r="J623" s="109">
        <f t="shared" ref="J623:J656" si="50">G623-H623</f>
        <v>-2.3283064365386963E-9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114969.65999999922</v>
      </c>
      <c r="H625" s="109">
        <f>H477</f>
        <v>114969.65999999922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321398</v>
      </c>
      <c r="H627" s="109">
        <f>J477</f>
        <v>321398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15169519.180000002</v>
      </c>
      <c r="H628" s="104">
        <f>SUM(F469)</f>
        <v>15169519.18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753201.41000000015</v>
      </c>
      <c r="H629" s="104">
        <f>SUM(G469)</f>
        <v>753201.41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2241216.1</v>
      </c>
      <c r="H630" s="104">
        <f>SUM(H469)</f>
        <v>2241216.1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14226234.180000002</v>
      </c>
      <c r="H633" s="104">
        <f>SUM(F473)</f>
        <v>14226234.18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2266773.06</v>
      </c>
      <c r="H634" s="104">
        <f>SUM(H473)</f>
        <v>2266773.06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333429.82999999996</v>
      </c>
      <c r="H635" s="104">
        <f>I370</f>
        <v>333429.82999999996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753201.41</v>
      </c>
      <c r="H636" s="104">
        <f>SUM(G473)</f>
        <v>753201.41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621830.35</v>
      </c>
      <c r="H648" s="104">
        <f>L209+L227+L245</f>
        <v>621830.35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433049.99</v>
      </c>
      <c r="H649" s="104">
        <f>(J258+J339)-(J256+J337)</f>
        <v>433049.99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368473.27999999997</v>
      </c>
      <c r="H650" s="104">
        <f>H599</f>
        <v>368473.27999999997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253357.06999999998</v>
      </c>
      <c r="H652" s="104">
        <f>J599</f>
        <v>253357.06999999998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72682.23</v>
      </c>
      <c r="H653" s="104">
        <f>K264+K346</f>
        <v>72682.23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29087.35</v>
      </c>
      <c r="H654" s="104">
        <f>K265</f>
        <v>29087.350000000002</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11284850.99</v>
      </c>
      <c r="G661" s="19">
        <f>(L230+L310+L360)</f>
        <v>0</v>
      </c>
      <c r="H661" s="19">
        <f>(L248+L329+L361)</f>
        <v>5434350.9300000006</v>
      </c>
      <c r="I661" s="19">
        <f>SUM(F661:H661)</f>
        <v>16719201.920000002</v>
      </c>
      <c r="J661" s="13"/>
      <c r="K661" s="13"/>
      <c r="L661" s="13"/>
      <c r="M661" s="9"/>
    </row>
    <row r="662" spans="1:13" s="3" customFormat="1" ht="12.2" customHeight="1" x14ac:dyDescent="0.2">
      <c r="A662" s="1" t="s">
        <v>127</v>
      </c>
      <c r="F662" s="19">
        <f>(L359/IF(SUM(L359:L361)=0,1,SUM(L359:L361))*(SUM(G97:G110)))</f>
        <v>1275.5023172649132</v>
      </c>
      <c r="G662" s="19">
        <f>(L360/IF(SUM(L359:L361)=0,1,SUM(L359:L361))*(SUM(G97:G110)))</f>
        <v>0</v>
      </c>
      <c r="H662" s="19">
        <f>(L361/IF(SUM(L359:L361)=0,1,SUM(L359:L361))*(SUM(G97:G110)))</f>
        <v>582.75768273508675</v>
      </c>
      <c r="I662" s="19">
        <f>SUM(F662:H662)</f>
        <v>1858.26</v>
      </c>
      <c r="J662"/>
      <c r="K662" s="13"/>
      <c r="L662" s="13"/>
      <c r="M662" s="8"/>
    </row>
    <row r="663" spans="1:13" s="3" customFormat="1" ht="12.2" customHeight="1" x14ac:dyDescent="0.2">
      <c r="A663" s="1" t="s">
        <v>128</v>
      </c>
      <c r="F663" s="19">
        <f>(L209+L288)-(J209+J288)</f>
        <v>375066.37</v>
      </c>
      <c r="G663" s="19">
        <f>(L227+L307)-(J227+J307)</f>
        <v>0</v>
      </c>
      <c r="H663" s="19">
        <f>(L245+L326)-(J245+J326)</f>
        <v>256750.05</v>
      </c>
      <c r="I663" s="19">
        <f>SUM(F663:H663)</f>
        <v>631816.41999999993</v>
      </c>
      <c r="J663"/>
      <c r="K663" s="13"/>
      <c r="L663" s="13"/>
      <c r="M663" s="9"/>
    </row>
    <row r="664" spans="1:13" s="3" customFormat="1" ht="12.2" customHeight="1" x14ac:dyDescent="0.15">
      <c r="A664" s="198" t="s">
        <v>129</v>
      </c>
      <c r="B664" s="169"/>
      <c r="C664" s="169"/>
      <c r="D664" s="169"/>
      <c r="E664" s="169"/>
      <c r="F664" s="199">
        <f>SUM(F576:F588)+SUM(H603:H605)+SUM(L612)</f>
        <v>745583.03</v>
      </c>
      <c r="G664" s="199">
        <f>SUM(G576:G588)+SUM(I603:I605)+L613</f>
        <v>0</v>
      </c>
      <c r="H664" s="199">
        <f>SUM(H576:H588)+SUM(J603:J605)+L614</f>
        <v>529299.54</v>
      </c>
      <c r="I664" s="19">
        <f>SUM(F664:H664)</f>
        <v>1274882.57</v>
      </c>
      <c r="J664" s="13"/>
      <c r="K664" s="13"/>
      <c r="L664" s="13"/>
      <c r="M664" s="9"/>
    </row>
    <row r="665" spans="1:13" s="3" customFormat="1" ht="12.2" customHeight="1" x14ac:dyDescent="0.15">
      <c r="A665" s="1" t="s">
        <v>130</v>
      </c>
      <c r="F665" s="19">
        <f>F661-SUM(F662:F664)</f>
        <v>10162926.087682735</v>
      </c>
      <c r="G665" s="19">
        <f>G661-SUM(G662:G664)</f>
        <v>0</v>
      </c>
      <c r="H665" s="19">
        <f>H661-SUM(H662:H664)</f>
        <v>4647718.5823172657</v>
      </c>
      <c r="I665" s="19">
        <f>I661-SUM(I662:I664)</f>
        <v>14810644.670000002</v>
      </c>
      <c r="J665" s="13"/>
      <c r="K665" s="13"/>
      <c r="L665" s="13"/>
      <c r="M665" s="8"/>
    </row>
    <row r="666" spans="1:13" s="3" customFormat="1" ht="12.2" customHeight="1" x14ac:dyDescent="0.25">
      <c r="A666" s="1" t="s">
        <v>131</v>
      </c>
      <c r="F666" s="359">
        <v>637.14</v>
      </c>
      <c r="G666" s="359">
        <v>0</v>
      </c>
      <c r="H666" s="359">
        <v>259.49</v>
      </c>
      <c r="I666" s="19">
        <f>SUM(F666:H666)</f>
        <v>896.63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15950.85</v>
      </c>
      <c r="G668" s="19" t="e">
        <f>ROUND(G665/G666,2)</f>
        <v>#DIV/0!</v>
      </c>
      <c r="H668" s="19">
        <f>ROUND(H665/H666,2)</f>
        <v>17910.97</v>
      </c>
      <c r="I668" s="19">
        <f>ROUND(I665/I666,2)</f>
        <v>16518.12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-4.83</v>
      </c>
      <c r="I671" s="19">
        <f>SUM(F671:H671)</f>
        <v>-4.83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15950.85</v>
      </c>
      <c r="G673" s="19" t="e">
        <f>ROUND((G665+G670)/(G666+G671),2)</f>
        <v>#DIV/0!</v>
      </c>
      <c r="H673" s="19">
        <f>ROUND((H665+H670)/(H666+H671),2)</f>
        <v>18250.68</v>
      </c>
      <c r="I673" s="19">
        <f>ROUND((I665+I670)/(I666+I671),2)</f>
        <v>16607.59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25" sqref="H25"/>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225894.5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185200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111495.27+74.95+12000+3960+600+45.92+106.8+3397+73.46+287.21+21.95+51.14+17850+2913+42734.44</f>
        <v>195611.14</v>
      </c>
      <c r="F22" s="346"/>
    </row>
    <row r="23" spans="2:8" x14ac:dyDescent="0.25">
      <c r="B23" s="346"/>
      <c r="C23" s="346"/>
      <c r="D23" s="346"/>
      <c r="E23" s="346"/>
      <c r="F23" s="346"/>
    </row>
    <row r="24" spans="2:8" ht="26.25" customHeight="1" x14ac:dyDescent="0.25">
      <c r="B24" s="346"/>
      <c r="C24" s="348" t="s">
        <v>1661</v>
      </c>
      <c r="D24" s="346"/>
      <c r="E24" s="341">
        <f>5700.86+74.95+12000+3960+600+45.92+106.8+3397+73.46</f>
        <v>25958.989999999994</v>
      </c>
      <c r="F24" s="346"/>
    </row>
    <row r="25" spans="2:8" ht="18" x14ac:dyDescent="0.25">
      <c r="B25" s="346"/>
      <c r="C25" s="349"/>
      <c r="D25" s="346"/>
      <c r="E25" s="346"/>
      <c r="F25" s="346"/>
    </row>
    <row r="26" spans="2:8" ht="27.75" customHeight="1" x14ac:dyDescent="0.25">
      <c r="B26" s="346"/>
      <c r="C26" s="348" t="s">
        <v>1662</v>
      </c>
      <c r="D26" s="346"/>
      <c r="E26" s="341">
        <f>105794.41+287.21+21.95+51.14+17850+2913+42734.44</f>
        <v>169652.15000000002</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f>87361.42+82650</f>
        <v>170011.41999999998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Franklin School District</v>
      </c>
      <c r="C5" s="363"/>
      <c r="D5" s="363"/>
      <c r="E5" s="363"/>
      <c r="F5" s="363"/>
    </row>
    <row r="8" spans="1:9" ht="18" x14ac:dyDescent="0.25">
      <c r="A8" s="317" t="s">
        <v>1576</v>
      </c>
      <c r="F8" s="324" t="s">
        <v>1594</v>
      </c>
    </row>
    <row r="9" spans="1:9" ht="15" x14ac:dyDescent="0.2">
      <c r="A9" s="315" t="s">
        <v>1577</v>
      </c>
      <c r="B9" s="318">
        <f>'DOE25'!G97</f>
        <v>1858.2599999999998</v>
      </c>
      <c r="F9" s="315" t="s">
        <v>1590</v>
      </c>
    </row>
    <row r="10" spans="1:9" ht="15" x14ac:dyDescent="0.2">
      <c r="A10" s="315" t="s">
        <v>1578</v>
      </c>
      <c r="B10" s="318">
        <f>'DOE25'!G112-'DOE25'!G97</f>
        <v>38.1099999999999</v>
      </c>
      <c r="F10" s="315" t="s">
        <v>1591</v>
      </c>
    </row>
    <row r="11" spans="1:9" ht="15" x14ac:dyDescent="0.2">
      <c r="A11" s="315" t="s">
        <v>1579</v>
      </c>
      <c r="B11" s="318">
        <f>'DOE25'!G140</f>
        <v>11044.81</v>
      </c>
      <c r="F11" s="315" t="s">
        <v>1592</v>
      </c>
    </row>
    <row r="12" spans="1:9" ht="15" x14ac:dyDescent="0.2">
      <c r="A12" s="315" t="s">
        <v>1580</v>
      </c>
      <c r="B12" s="318">
        <f>'DOE25'!G170</f>
        <v>667578.00000000012</v>
      </c>
      <c r="F12" s="315" t="s">
        <v>1593</v>
      </c>
    </row>
    <row r="13" spans="1:9" ht="15" x14ac:dyDescent="0.2">
      <c r="A13" s="315" t="s">
        <v>1581</v>
      </c>
      <c r="B13" s="318">
        <f>'DOE25'!G193-'DOE25'!G180</f>
        <v>38044.129999999997</v>
      </c>
      <c r="F13" s="315" t="s">
        <v>1603</v>
      </c>
    </row>
    <row r="14" spans="1:9" ht="18" x14ac:dyDescent="0.25">
      <c r="A14" s="317" t="s">
        <v>732</v>
      </c>
      <c r="B14" s="319">
        <f>SUM(B9:B13)</f>
        <v>718563.31000000017</v>
      </c>
    </row>
    <row r="16" spans="1:9" ht="18" x14ac:dyDescent="0.25">
      <c r="A16" s="317" t="s">
        <v>786</v>
      </c>
      <c r="F16" s="324" t="s">
        <v>1595</v>
      </c>
    </row>
    <row r="17" spans="1:6" ht="15" x14ac:dyDescent="0.2">
      <c r="A17" s="315" t="s">
        <v>1582</v>
      </c>
      <c r="B17" s="318">
        <f>'DOE25'!L363-'DOE25'!L362</f>
        <v>753201.41</v>
      </c>
      <c r="F17" s="315" t="s">
        <v>1596</v>
      </c>
    </row>
    <row r="18" spans="1:6" ht="15" x14ac:dyDescent="0.2">
      <c r="A18" s="315" t="s">
        <v>1583</v>
      </c>
      <c r="B18" s="328"/>
      <c r="F18" s="324" t="s">
        <v>1620</v>
      </c>
    </row>
    <row r="19" spans="1:6" ht="18" x14ac:dyDescent="0.25">
      <c r="A19" s="317" t="s">
        <v>725</v>
      </c>
      <c r="B19" s="319">
        <f>SUM(B17:B18)</f>
        <v>753201.41</v>
      </c>
    </row>
    <row r="21" spans="1:6" ht="18.75" thickBot="1" x14ac:dyDescent="0.3">
      <c r="A21" s="317" t="s">
        <v>1584</v>
      </c>
    </row>
    <row r="22" spans="1:6" ht="18.75" thickTop="1" x14ac:dyDescent="0.25">
      <c r="A22" s="317" t="s">
        <v>1585</v>
      </c>
      <c r="B22" s="323">
        <f>B14-B19</f>
        <v>-34638.09999999986</v>
      </c>
      <c r="F22" s="315" t="s">
        <v>1597</v>
      </c>
    </row>
    <row r="26" spans="1:6" ht="18" x14ac:dyDescent="0.25">
      <c r="A26" s="317" t="s">
        <v>186</v>
      </c>
    </row>
    <row r="27" spans="1:6" ht="15" x14ac:dyDescent="0.2">
      <c r="A27" s="315" t="s">
        <v>1586</v>
      </c>
      <c r="B27" s="318">
        <f>'DOE25'!G180</f>
        <v>34638.1</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16571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Franklin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3489077.96</v>
      </c>
      <c r="C9" s="229">
        <f>'DOE25'!G198+'DOE25'!G216+'DOE25'!G234+'DOE25'!G277+'DOE25'!G296+'DOE25'!G315</f>
        <v>1721643.0899999999</v>
      </c>
    </row>
    <row r="10" spans="1:3" x14ac:dyDescent="0.2">
      <c r="A10" t="s">
        <v>775</v>
      </c>
      <c r="B10" s="240">
        <v>3304174.78</v>
      </c>
      <c r="C10" s="240">
        <v>1670537.6</v>
      </c>
    </row>
    <row r="11" spans="1:3" x14ac:dyDescent="0.2">
      <c r="A11" t="s">
        <v>776</v>
      </c>
      <c r="B11" s="240">
        <v>92323.18</v>
      </c>
      <c r="C11" s="240">
        <f>8062+402.12+361+5531+17+466+15674.13+804.24+193.86+2966+38+224</f>
        <v>34739.350000000006</v>
      </c>
    </row>
    <row r="12" spans="1:3" x14ac:dyDescent="0.2">
      <c r="A12" t="s">
        <v>777</v>
      </c>
      <c r="B12" s="240">
        <v>92580</v>
      </c>
      <c r="C12" s="240">
        <f>7082.37+9283.77</f>
        <v>16366.14</v>
      </c>
    </row>
    <row r="13" spans="1:3" x14ac:dyDescent="0.2">
      <c r="A13" t="str">
        <f>IF(B9=B13,IF(C9=C13,"Check Total OK","Check Total Error"),"Check Total Error")</f>
        <v>Check Total OK</v>
      </c>
      <c r="B13" s="231">
        <f>SUM(B10:B12)</f>
        <v>3489077.96</v>
      </c>
      <c r="C13" s="231">
        <f>SUM(C10:C12)</f>
        <v>1721643.09</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1513655.2</v>
      </c>
      <c r="C18" s="229">
        <f>'DOE25'!G199+'DOE25'!G217+'DOE25'!G235+'DOE25'!G278+'DOE25'!G297+'DOE25'!G316</f>
        <v>657967.50000000012</v>
      </c>
    </row>
    <row r="19" spans="1:3" x14ac:dyDescent="0.2">
      <c r="A19" t="s">
        <v>775</v>
      </c>
      <c r="B19" s="240">
        <v>783841.39</v>
      </c>
      <c r="C19" s="240">
        <v>274155.83</v>
      </c>
    </row>
    <row r="20" spans="1:3" x14ac:dyDescent="0.2">
      <c r="A20" t="s">
        <v>776</v>
      </c>
      <c r="B20" s="240">
        <v>601536.29</v>
      </c>
      <c r="C20" s="240">
        <v>305767.40999999997</v>
      </c>
    </row>
    <row r="21" spans="1:3" x14ac:dyDescent="0.2">
      <c r="A21" t="s">
        <v>777</v>
      </c>
      <c r="B21" s="240">
        <v>128277.52</v>
      </c>
      <c r="C21" s="240">
        <v>78044.259999999995</v>
      </c>
    </row>
    <row r="22" spans="1:3" x14ac:dyDescent="0.2">
      <c r="A22" t="str">
        <f>IF(B18=B22,IF(C18=C22,"Check Total OK","Check Total Error"),"Check Total Error")</f>
        <v>Check Total OK</v>
      </c>
      <c r="B22" s="231">
        <f>SUM(B19:B21)</f>
        <v>1513655.2000000002</v>
      </c>
      <c r="C22" s="231">
        <f>SUM(C19:C21)</f>
        <v>657967.5</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132012.63</v>
      </c>
      <c r="C36" s="235">
        <f>'DOE25'!G201+'DOE25'!G219+'DOE25'!G237+'DOE25'!G280+'DOE25'!G299+'DOE25'!G318</f>
        <v>48693.770000000004</v>
      </c>
    </row>
    <row r="37" spans="1:3" x14ac:dyDescent="0.2">
      <c r="A37" t="s">
        <v>775</v>
      </c>
      <c r="B37" s="240"/>
      <c r="C37" s="240"/>
    </row>
    <row r="38" spans="1:3" x14ac:dyDescent="0.2">
      <c r="A38" t="s">
        <v>776</v>
      </c>
      <c r="B38" s="240"/>
      <c r="C38" s="240"/>
    </row>
    <row r="39" spans="1:3" x14ac:dyDescent="0.2">
      <c r="A39" t="s">
        <v>777</v>
      </c>
      <c r="B39" s="240">
        <v>132012.63</v>
      </c>
      <c r="C39" s="240">
        <v>48693.77</v>
      </c>
    </row>
    <row r="40" spans="1:3" x14ac:dyDescent="0.2">
      <c r="A40" t="str">
        <f>IF(B36=B40,IF(C36=C40,"Check Total OK","Check Total Error"),"Check Total Error")</f>
        <v>Check Total OK</v>
      </c>
      <c r="B40" s="231">
        <f>SUM(B37:B39)</f>
        <v>132012.63</v>
      </c>
      <c r="C40" s="231">
        <f>SUM(C37:C39)</f>
        <v>48693.77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Franklin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8044476.3400000008</v>
      </c>
      <c r="D5" s="20">
        <f>SUM('DOE25'!L198:L201)+SUM('DOE25'!L216:L219)+SUM('DOE25'!L234:L237)-F5-G5-H5</f>
        <v>7932432.4100000011</v>
      </c>
      <c r="E5" s="243"/>
      <c r="F5" s="244">
        <f>75349.75</f>
        <v>75349.75</v>
      </c>
      <c r="G5" s="53">
        <f>SUM('DOE25'!J198:J201)+SUM('DOE25'!J216:J219)+SUM('DOE25'!J234:J237)</f>
        <v>22791.18</v>
      </c>
      <c r="H5" s="53">
        <f>SUM('DOE25'!K198:K201)+SUM('DOE25'!K216:K219)+SUM('DOE25'!K234:K237)</f>
        <v>13903</v>
      </c>
      <c r="I5" s="254"/>
    </row>
    <row r="6" spans="1:9" x14ac:dyDescent="0.2">
      <c r="A6" s="32">
        <v>2100</v>
      </c>
      <c r="B6" t="s">
        <v>796</v>
      </c>
      <c r="C6" s="273">
        <f t="shared" si="0"/>
        <v>1921890.63</v>
      </c>
      <c r="D6" s="20">
        <f>'DOE25'!L203+'DOE25'!L221+'DOE25'!L239-F6-G6-H6</f>
        <v>1327717.42</v>
      </c>
      <c r="E6" s="243"/>
      <c r="F6" s="244">
        <f>131260.1+237967.94+77089+40540+35166.5+71432.67</f>
        <v>593456.21000000008</v>
      </c>
      <c r="G6" s="53">
        <f>'DOE25'!J203+'DOE25'!J221+'DOE25'!J239</f>
        <v>0</v>
      </c>
      <c r="H6" s="53">
        <f>'DOE25'!K203+'DOE25'!K221+'DOE25'!K239</f>
        <v>717</v>
      </c>
      <c r="I6" s="254"/>
    </row>
    <row r="7" spans="1:9" x14ac:dyDescent="0.2">
      <c r="A7" s="32">
        <v>2200</v>
      </c>
      <c r="B7" t="s">
        <v>821</v>
      </c>
      <c r="C7" s="273">
        <f t="shared" si="0"/>
        <v>339181.25</v>
      </c>
      <c r="D7" s="20">
        <f>'DOE25'!L204+'DOE25'!L222+'DOE25'!L240-F7-G7-H7</f>
        <v>260113.19</v>
      </c>
      <c r="E7" s="243"/>
      <c r="F7" s="244"/>
      <c r="G7" s="53">
        <f>'DOE25'!J204+'DOE25'!J222+'DOE25'!J240</f>
        <v>78728.06</v>
      </c>
      <c r="H7" s="53">
        <f>'DOE25'!K204+'DOE25'!K222+'DOE25'!K240</f>
        <v>340</v>
      </c>
      <c r="I7" s="254"/>
    </row>
    <row r="8" spans="1:9" x14ac:dyDescent="0.2">
      <c r="A8" s="32">
        <v>2300</v>
      </c>
      <c r="B8" t="s">
        <v>797</v>
      </c>
      <c r="C8" s="273">
        <f t="shared" si="0"/>
        <v>38557.460000000021</v>
      </c>
      <c r="D8" s="243"/>
      <c r="E8" s="20">
        <f>'DOE25'!L205+'DOE25'!L223+'DOE25'!L241-F8-G8-H8-D9-D11</f>
        <v>29869.020000000019</v>
      </c>
      <c r="F8" s="244"/>
      <c r="G8" s="53">
        <f>'DOE25'!J205+'DOE25'!J223+'DOE25'!J241</f>
        <v>339.99</v>
      </c>
      <c r="H8" s="53">
        <f>'DOE25'!K205+'DOE25'!K223+'DOE25'!K241</f>
        <v>8348.4500000000007</v>
      </c>
      <c r="I8" s="254"/>
    </row>
    <row r="9" spans="1:9" ht="14.25" x14ac:dyDescent="0.2">
      <c r="A9" s="32">
        <v>2310</v>
      </c>
      <c r="B9" s="185" t="s">
        <v>888</v>
      </c>
      <c r="C9" s="273">
        <f t="shared" si="0"/>
        <v>13730.34</v>
      </c>
      <c r="D9" s="244">
        <v>13730.34</v>
      </c>
      <c r="E9" s="243"/>
      <c r="F9" s="251"/>
      <c r="G9" s="251"/>
      <c r="H9" s="251"/>
      <c r="I9" s="254"/>
    </row>
    <row r="10" spans="1:9" ht="14.25" x14ac:dyDescent="0.2">
      <c r="A10" s="32">
        <v>2317</v>
      </c>
      <c r="B10" s="185" t="s">
        <v>889</v>
      </c>
      <c r="C10" s="273">
        <f t="shared" si="0"/>
        <v>27950</v>
      </c>
      <c r="D10" s="243"/>
      <c r="E10" s="244">
        <v>27950</v>
      </c>
      <c r="F10" s="251"/>
      <c r="G10" s="251"/>
      <c r="H10" s="251"/>
      <c r="I10" s="254"/>
    </row>
    <row r="11" spans="1:9" ht="14.25" x14ac:dyDescent="0.2">
      <c r="A11" s="32">
        <v>2321</v>
      </c>
      <c r="B11" s="185" t="s">
        <v>890</v>
      </c>
      <c r="C11" s="273">
        <f t="shared" si="0"/>
        <v>316122.77</v>
      </c>
      <c r="D11" s="244">
        <v>316122.77</v>
      </c>
      <c r="E11" s="243"/>
      <c r="F11" s="251"/>
      <c r="G11" s="251"/>
      <c r="H11" s="251"/>
      <c r="I11" s="254"/>
    </row>
    <row r="12" spans="1:9" x14ac:dyDescent="0.2">
      <c r="A12" s="32">
        <v>2400</v>
      </c>
      <c r="B12" t="s">
        <v>711</v>
      </c>
      <c r="C12" s="273">
        <f t="shared" si="0"/>
        <v>847331.92</v>
      </c>
      <c r="D12" s="20">
        <f>'DOE25'!L206+'DOE25'!L224+'DOE25'!L242-F12-G12-H12</f>
        <v>835993.61</v>
      </c>
      <c r="E12" s="243"/>
      <c r="F12" s="244"/>
      <c r="G12" s="53">
        <f>'DOE25'!J206+'DOE25'!J224+'DOE25'!J242</f>
        <v>0</v>
      </c>
      <c r="H12" s="53">
        <f>'DOE25'!K206+'DOE25'!K224+'DOE25'!K242</f>
        <v>11338.31</v>
      </c>
      <c r="I12" s="254"/>
    </row>
    <row r="13" spans="1:9" x14ac:dyDescent="0.2">
      <c r="A13" s="32">
        <v>2500</v>
      </c>
      <c r="B13" t="s">
        <v>798</v>
      </c>
      <c r="C13" s="273">
        <f t="shared" si="0"/>
        <v>289305.46000000002</v>
      </c>
      <c r="D13" s="243"/>
      <c r="E13" s="20">
        <f>'DOE25'!L207+'DOE25'!L225+'DOE25'!L243-F13-G13-H13</f>
        <v>289305.46000000002</v>
      </c>
      <c r="F13" s="244"/>
      <c r="G13" s="53">
        <f>'DOE25'!J207+'DOE25'!J225+'DOE25'!J243</f>
        <v>0</v>
      </c>
      <c r="H13" s="53">
        <f>'DOE25'!K207+'DOE25'!K225+'DOE25'!K243</f>
        <v>0</v>
      </c>
      <c r="I13" s="254"/>
    </row>
    <row r="14" spans="1:9" x14ac:dyDescent="0.2">
      <c r="A14" s="32">
        <v>2600</v>
      </c>
      <c r="B14" t="s">
        <v>819</v>
      </c>
      <c r="C14" s="273">
        <f t="shared" si="0"/>
        <v>1153747.6600000001</v>
      </c>
      <c r="D14" s="20">
        <f>'DOE25'!L208+'DOE25'!L226+'DOE25'!L244-F14-G14-H14</f>
        <v>1144371.4200000002</v>
      </c>
      <c r="E14" s="243"/>
      <c r="F14" s="244">
        <f>1540</f>
        <v>1540</v>
      </c>
      <c r="G14" s="53">
        <f>'DOE25'!J208+'DOE25'!J226+'DOE25'!J244</f>
        <v>7836.24</v>
      </c>
      <c r="H14" s="53">
        <f>'DOE25'!K208+'DOE25'!K226+'DOE25'!K244</f>
        <v>0</v>
      </c>
      <c r="I14" s="254"/>
    </row>
    <row r="15" spans="1:9" x14ac:dyDescent="0.2">
      <c r="A15" s="32">
        <v>2700</v>
      </c>
      <c r="B15" t="s">
        <v>799</v>
      </c>
      <c r="C15" s="273">
        <f t="shared" si="0"/>
        <v>621830.35</v>
      </c>
      <c r="D15" s="20">
        <f>'DOE25'!L209+'DOE25'!L227+'DOE25'!L245-F15-G15-H15</f>
        <v>175721.02999999997</v>
      </c>
      <c r="E15" s="243"/>
      <c r="F15" s="244">
        <f>284800.12+149139.2+12170</f>
        <v>446109.32</v>
      </c>
      <c r="G15" s="53">
        <f>'DOE25'!J209+'DOE25'!J227+'DOE25'!J245</f>
        <v>0</v>
      </c>
      <c r="H15" s="53">
        <f>'DOE25'!K209+'DOE25'!K227+'DOE25'!K245</f>
        <v>0</v>
      </c>
      <c r="I15" s="254"/>
    </row>
    <row r="16" spans="1:9" x14ac:dyDescent="0.2">
      <c r="A16" s="32">
        <v>2800</v>
      </c>
      <c r="B16" t="s">
        <v>800</v>
      </c>
      <c r="C16" s="273">
        <f t="shared" si="0"/>
        <v>236137.69</v>
      </c>
      <c r="D16" s="243"/>
      <c r="E16" s="20">
        <f>'DOE25'!L210+'DOE25'!L228+'DOE25'!L246-F16-G16-H16</f>
        <v>236137.69</v>
      </c>
      <c r="F16" s="244"/>
      <c r="G16" s="53">
        <f>'DOE25'!J210+'DOE25'!J228+'DOE25'!J246</f>
        <v>0</v>
      </c>
      <c r="H16" s="53">
        <f>'DOE25'!K210+'DOE25'!K228+'DOE25'!K246</f>
        <v>0</v>
      </c>
      <c r="I16" s="254"/>
    </row>
    <row r="17" spans="1:9" x14ac:dyDescent="0.2">
      <c r="A17" s="32">
        <v>1600</v>
      </c>
      <c r="B17" t="s">
        <v>801</v>
      </c>
      <c r="C17" s="273">
        <f t="shared" si="0"/>
        <v>21472.57</v>
      </c>
      <c r="D17" s="20">
        <f>'DOE25'!L252-F17-G17-H17</f>
        <v>21472.57</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318724.28999999998</v>
      </c>
      <c r="D25" s="243"/>
      <c r="E25" s="243"/>
      <c r="F25" s="253"/>
      <c r="G25" s="251"/>
      <c r="H25" s="251"/>
      <c r="I25" s="252">
        <f>'DOE25'!L261+'DOE25'!L262+'DOE25'!L342+'DOE25'!L343</f>
        <v>318724.28999999998</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454395.72000000009</v>
      </c>
      <c r="D29" s="281">
        <f>'DOE25'!L359+'DOE25'!L360+'DOE25'!L361-'DOE25'!I368-F29-G29-H29</f>
        <v>443873.72000000009</v>
      </c>
      <c r="E29" s="243"/>
      <c r="F29" s="244"/>
      <c r="G29" s="53">
        <f>'DOE25'!J359+'DOE25'!J360+'DOE25'!J361</f>
        <v>9822</v>
      </c>
      <c r="H29" s="53">
        <f>'DOE25'!K359+'DOE25'!K360+'DOE25'!K361</f>
        <v>700</v>
      </c>
      <c r="I29" s="254"/>
    </row>
    <row r="30" spans="1:9" x14ac:dyDescent="0.2">
      <c r="A30" s="32"/>
      <c r="C30" s="274"/>
      <c r="D30" s="20"/>
      <c r="E30" s="278"/>
      <c r="F30" s="268"/>
      <c r="G30" s="53"/>
      <c r="H30" s="53"/>
      <c r="I30" s="254"/>
    </row>
    <row r="31" spans="1:9" x14ac:dyDescent="0.2">
      <c r="A31" s="32" t="s">
        <v>818</v>
      </c>
      <c r="B31" t="s">
        <v>817</v>
      </c>
      <c r="C31" s="273">
        <f>SUM(D31:I31)</f>
        <v>2172878.4700000002</v>
      </c>
      <c r="D31" s="20">
        <f>'DOE25'!L291+'DOE25'!L310+'DOE25'!L329+'DOE25'!L334+'DOE25'!L335+'DOE25'!L336-F31-G31-H31</f>
        <v>1831473.9500000002</v>
      </c>
      <c r="E31" s="243"/>
      <c r="F31" s="244">
        <f>18050</f>
        <v>18050</v>
      </c>
      <c r="G31" s="53">
        <f>'DOE25'!J291+'DOE25'!J310+'DOE25'!J329+'DOE25'!J334+'DOE25'!J335+'DOE25'!J336</f>
        <v>323354.52</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14303022.43</v>
      </c>
      <c r="E33" s="245">
        <f t="shared" si="1"/>
        <v>583262.17000000004</v>
      </c>
      <c r="F33" s="245">
        <f t="shared" si="1"/>
        <v>1134505.28</v>
      </c>
      <c r="G33" s="245">
        <f t="shared" si="1"/>
        <v>442871.99</v>
      </c>
      <c r="H33" s="245">
        <f t="shared" si="1"/>
        <v>35346.76</v>
      </c>
      <c r="I33" s="245">
        <f t="shared" si="1"/>
        <v>318724.28999999998</v>
      </c>
    </row>
    <row r="35" spans="1:9" ht="12" thickBot="1" x14ac:dyDescent="0.25">
      <c r="B35" s="249" t="s">
        <v>831</v>
      </c>
      <c r="D35" s="250">
        <f>E33</f>
        <v>583262.17000000004</v>
      </c>
      <c r="E35" s="246"/>
      <c r="F35" s="333" t="s">
        <v>1632</v>
      </c>
      <c r="G35" s="334"/>
      <c r="H35" s="334"/>
      <c r="I35" s="334"/>
    </row>
    <row r="36" spans="1:9" ht="12" thickTop="1" x14ac:dyDescent="0.2">
      <c r="B36" t="s">
        <v>810</v>
      </c>
      <c r="D36" s="20">
        <f>D33</f>
        <v>14303022.43</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30" sqref="I3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Franklin School District</v>
      </c>
      <c r="B2" s="126">
        <f>'DOE25'!B2</f>
        <v>185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10767856.52</v>
      </c>
      <c r="G4" s="300">
        <f>'DOE25'!L212+'DOE25'!L291</f>
        <v>10767856.52</v>
      </c>
      <c r="H4" s="353">
        <f>F4-G4</f>
        <v>0</v>
      </c>
      <c r="I4" s="371" t="str">
        <f>IF(H4=0,"","ISSUES!! Please review page 7 and 11 totals in comparison with total on this page")</f>
        <v/>
      </c>
      <c r="N4"/>
    </row>
    <row r="5" spans="1:18" x14ac:dyDescent="0.2">
      <c r="A5" s="21" t="s">
        <v>1052</v>
      </c>
      <c r="B5" s="301">
        <f>IFERROR(VLOOKUP(A5,'School Tables'!$C$3:$D$365,2,FALSE),"")</f>
        <v>20650</v>
      </c>
      <c r="C5" s="294" t="str">
        <f>IFERROR(INDEX('School Tables'!$B$3:$B$365,MATCH('School Level Expenditures'!B5,'School Tables'!$D$3:$D$365,0)),"")</f>
        <v>Franklin</v>
      </c>
      <c r="D5" s="291">
        <f>3756037.17-345743.48</f>
        <v>3410293.69</v>
      </c>
      <c r="E5" s="291">
        <v>668475.07999999996</v>
      </c>
      <c r="F5" s="304">
        <f>D5+E5</f>
        <v>4078768.77</v>
      </c>
      <c r="G5" s="294"/>
      <c r="H5" s="294"/>
      <c r="I5" s="372"/>
      <c r="N5"/>
    </row>
    <row r="6" spans="1:18" x14ac:dyDescent="0.2">
      <c r="A6" s="21" t="s">
        <v>1054</v>
      </c>
      <c r="B6" s="301">
        <f>IFERROR(VLOOKUP(A6,'School Tables'!$C$3:$D$365,2,FALSE),"")</f>
        <v>26755</v>
      </c>
      <c r="C6" s="294" t="str">
        <f>IFERROR(INDEX('School Tables'!$B$3:$B$365,MATCH('School Level Expenditures'!B6,'School Tables'!$D$3:$D$365,0)),"")</f>
        <v>Franklin</v>
      </c>
      <c r="D6" s="291">
        <f>5384963.49-135352.38</f>
        <v>5249611.1100000003</v>
      </c>
      <c r="E6" s="291">
        <v>958380.78</v>
      </c>
      <c r="F6" s="304">
        <f t="shared" ref="F6:F20" si="0">D6+E6</f>
        <v>6207991.8900000006</v>
      </c>
      <c r="G6" s="294"/>
      <c r="H6" s="294"/>
      <c r="I6" s="372"/>
      <c r="N6"/>
    </row>
    <row r="7" spans="1:18" x14ac:dyDescent="0.2">
      <c r="A7" s="21" t="s">
        <v>1555</v>
      </c>
      <c r="B7" s="301">
        <f>IFERROR(VLOOKUP(A7,'School Tables'!$C$3:$D$365,2,FALSE),"")</f>
        <v>99999</v>
      </c>
      <c r="C7" s="294" t="str">
        <f>IFERROR(INDEX('School Tables'!$B$3:$B$365,MATCH('School Level Expenditures'!B7,'School Tables'!$D$3:$D$365,0)),"")</f>
        <v>Other District Expenditures</v>
      </c>
      <c r="D7" s="291">
        <f>345743.48+135352.38</f>
        <v>481095.86</v>
      </c>
      <c r="E7" s="291"/>
      <c r="F7" s="304">
        <f t="shared" si="0"/>
        <v>481095.86</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9141000.6600000001</v>
      </c>
      <c r="E21" s="351">
        <f>SUM(E5:E20)</f>
        <v>1626855.8599999999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5198143.99</v>
      </c>
      <c r="G36" s="300">
        <f>'DOE25'!L248+'DOE25'!L329</f>
        <v>5198143.99</v>
      </c>
      <c r="H36" s="353">
        <f>F36-G36</f>
        <v>0</v>
      </c>
      <c r="I36" s="371" t="str">
        <f>IF(H36=0,"","ISSUES!! Please review page 9 and 13 totals in comparison with total on this page")</f>
        <v/>
      </c>
      <c r="N36"/>
    </row>
    <row r="37" spans="1:14" x14ac:dyDescent="0.2">
      <c r="A37" s="21" t="s">
        <v>1053</v>
      </c>
      <c r="B37" s="301">
        <f>IFERROR(VLOOKUP(A37,'School Tables'!$O$3:$P$118,2,FALSE),"")</f>
        <v>20660</v>
      </c>
      <c r="C37" s="294" t="str">
        <f t="array" ref="C37">IFERROR(INDEX('School Tables'!$N$3:$N$118,MATCH('School Level Expenditures'!B37,'School Tables'!$P$3:$P$118,0)),"")</f>
        <v>Franklin</v>
      </c>
      <c r="D37" s="291">
        <f>4681311.21-352132.75</f>
        <v>4329178.46</v>
      </c>
      <c r="E37" s="291">
        <v>516832.78</v>
      </c>
      <c r="F37" s="304">
        <f t="shared" ref="F37:F42" si="2">D37+E37</f>
        <v>4846011.24</v>
      </c>
      <c r="G37" s="294"/>
      <c r="H37" s="294"/>
      <c r="I37" s="372"/>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v>352132.75</v>
      </c>
      <c r="E38" s="291"/>
      <c r="F38" s="304">
        <f t="shared" si="2"/>
        <v>352132.75</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4681311.21</v>
      </c>
      <c r="E43" s="352">
        <f>SUM(E37:E42)</f>
        <v>516832.78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4"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Franklin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-98227.76</v>
      </c>
      <c r="D8" s="95">
        <f>'DOE25'!G9</f>
        <v>61731.31</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1484269.3699999999</v>
      </c>
      <c r="D12" s="95">
        <f>'DOE25'!G13</f>
        <v>200953.26</v>
      </c>
      <c r="E12" s="95">
        <f>'DOE25'!H13</f>
        <v>495654.9</v>
      </c>
      <c r="F12" s="95">
        <f>'DOE25'!I13</f>
        <v>0</v>
      </c>
      <c r="G12" s="95">
        <f>'DOE25'!J13</f>
        <v>0</v>
      </c>
      <c r="H12" s="124"/>
      <c r="I12" s="124"/>
    </row>
    <row r="13" spans="1:9" x14ac:dyDescent="0.2">
      <c r="A13" s="1" t="s">
        <v>144</v>
      </c>
      <c r="B13" s="6">
        <v>150</v>
      </c>
      <c r="C13" s="95">
        <f>'DOE25'!F14</f>
        <v>18123.11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13732</v>
      </c>
      <c r="E15" s="95">
        <f>'DOE25'!H16</f>
        <v>0</v>
      </c>
      <c r="F15" s="95">
        <f>'DOE25'!I16</f>
        <v>0</v>
      </c>
      <c r="G15" s="24" t="s">
        <v>288</v>
      </c>
      <c r="H15" s="124"/>
      <c r="I15" s="124"/>
    </row>
    <row r="16" spans="1:9" x14ac:dyDescent="0.2">
      <c r="A16" s="1" t="s">
        <v>147</v>
      </c>
      <c r="B16" s="6">
        <v>180</v>
      </c>
      <c r="C16" s="95">
        <f>'DOE25'!F17</f>
        <v>73837.87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1478002.5899999999</v>
      </c>
      <c r="D18" s="41">
        <f>SUM(D8:D17)</f>
        <v>276416.57</v>
      </c>
      <c r="E18" s="41">
        <f>SUM(E8:E17)</f>
        <v>495654.9</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-201935.55</v>
      </c>
      <c r="D21" s="95">
        <f>'DOE25'!G22</f>
        <v>255982.38</v>
      </c>
      <c r="E21" s="95">
        <f>'DOE25'!H22</f>
        <v>267470.20000000007</v>
      </c>
      <c r="F21" s="95">
        <f>'DOE25'!I22</f>
        <v>0</v>
      </c>
      <c r="G21" s="95">
        <f>'DOE25'!J22</f>
        <v>-321398</v>
      </c>
      <c r="H21" s="124"/>
      <c r="I21" s="124"/>
    </row>
    <row r="22" spans="1:9" x14ac:dyDescent="0.2">
      <c r="A22" s="1" t="s">
        <v>151</v>
      </c>
      <c r="B22" s="6">
        <v>410</v>
      </c>
      <c r="C22" s="95">
        <f>'DOE25'!F23</f>
        <v>962.55</v>
      </c>
      <c r="D22" s="95">
        <f>'DOE25'!G23</f>
        <v>0</v>
      </c>
      <c r="E22" s="95">
        <f>'DOE25'!H23</f>
        <v>0</v>
      </c>
      <c r="F22" s="95">
        <f>'DOE25'!I23</f>
        <v>0</v>
      </c>
      <c r="G22" s="95">
        <f>'DOE25'!J23</f>
        <v>0</v>
      </c>
      <c r="H22" s="124"/>
      <c r="I22" s="124"/>
    </row>
    <row r="23" spans="1:9" x14ac:dyDescent="0.2">
      <c r="A23" s="1" t="s">
        <v>152</v>
      </c>
      <c r="B23" s="6">
        <v>420</v>
      </c>
      <c r="C23" s="95">
        <f>'DOE25'!F24</f>
        <v>141096.19</v>
      </c>
      <c r="D23" s="95">
        <f>'DOE25'!G24</f>
        <v>14068.029999999999</v>
      </c>
      <c r="E23" s="95">
        <f>'DOE25'!H24</f>
        <v>47164.78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-162.53</v>
      </c>
      <c r="D27" s="95">
        <f>'DOE25'!G28</f>
        <v>0</v>
      </c>
      <c r="E27" s="95">
        <f>'DOE25'!H28</f>
        <v>0</v>
      </c>
      <c r="F27" s="95">
        <f>'DOE25'!I28</f>
        <v>0</v>
      </c>
      <c r="G27" s="24" t="s">
        <v>288</v>
      </c>
      <c r="H27" s="124"/>
      <c r="I27" s="124"/>
    </row>
    <row r="28" spans="1:9" x14ac:dyDescent="0.2">
      <c r="A28" s="1" t="s">
        <v>157</v>
      </c>
      <c r="B28" s="6">
        <v>470</v>
      </c>
      <c r="C28" s="95">
        <f>'DOE25'!F29</f>
        <v>-1542</v>
      </c>
      <c r="D28" s="95">
        <f>'DOE25'!G29</f>
        <v>0</v>
      </c>
      <c r="E28" s="95">
        <f>'DOE25'!H29</f>
        <v>0</v>
      </c>
      <c r="F28" s="95">
        <f>'DOE25'!I29</f>
        <v>0</v>
      </c>
      <c r="G28" s="24" t="s">
        <v>288</v>
      </c>
      <c r="H28" s="124"/>
      <c r="I28" s="124"/>
    </row>
    <row r="29" spans="1:9" x14ac:dyDescent="0.2">
      <c r="A29" s="1" t="s">
        <v>158</v>
      </c>
      <c r="B29" s="6">
        <v>480</v>
      </c>
      <c r="C29" s="95">
        <f>'DOE25'!F30</f>
        <v>0</v>
      </c>
      <c r="D29" s="95">
        <f>'DOE25'!G30</f>
        <v>6366.16</v>
      </c>
      <c r="E29" s="95">
        <f>'DOE25'!H30</f>
        <v>66050.259999999995</v>
      </c>
      <c r="F29" s="95">
        <f>'DOE25'!I30</f>
        <v>0</v>
      </c>
      <c r="G29" s="24" t="s">
        <v>288</v>
      </c>
      <c r="H29" s="124"/>
      <c r="I29" s="124"/>
    </row>
    <row r="30" spans="1:9" ht="12" thickBot="1" x14ac:dyDescent="0.25">
      <c r="A30" s="1" t="s">
        <v>159</v>
      </c>
      <c r="B30" s="71">
        <v>490</v>
      </c>
      <c r="C30" s="95">
        <f>'DOE25'!F31</f>
        <v>16313.11</v>
      </c>
      <c r="D30" s="95">
        <f>'DOE25'!G31</f>
        <v>0</v>
      </c>
      <c r="E30" s="95">
        <f>'DOE25'!H31</f>
        <v>0</v>
      </c>
      <c r="F30" s="95">
        <f>'DOE25'!I31</f>
        <v>0</v>
      </c>
      <c r="G30" s="95">
        <f>'DOE25'!J31</f>
        <v>0</v>
      </c>
      <c r="H30" s="124"/>
      <c r="I30" s="124"/>
    </row>
    <row r="31" spans="1:9" ht="12" thickTop="1" x14ac:dyDescent="0.2">
      <c r="A31" s="38" t="s">
        <v>160</v>
      </c>
      <c r="B31" s="2"/>
      <c r="C31" s="41">
        <f>SUM(C21:C30)</f>
        <v>-45268.229999999996</v>
      </c>
      <c r="D31" s="41">
        <f>SUM(D21:D30)</f>
        <v>276416.57</v>
      </c>
      <c r="E31" s="41">
        <f>SUM(E21:E30)</f>
        <v>380685.24000000011</v>
      </c>
      <c r="F31" s="41">
        <f>SUM(F21:F30)</f>
        <v>0</v>
      </c>
      <c r="G31" s="41">
        <f>SUM(G21:G30)</f>
        <v>-321398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1211996.6399999999</v>
      </c>
      <c r="D47" s="95">
        <f>'DOE25'!G48</f>
        <v>0</v>
      </c>
      <c r="E47" s="95">
        <f>'DOE25'!H48</f>
        <v>114969.65999999922</v>
      </c>
      <c r="F47" s="95">
        <f>'DOE25'!I48</f>
        <v>0</v>
      </c>
      <c r="G47" s="95">
        <f>'DOE25'!J48</f>
        <v>321398</v>
      </c>
      <c r="H47" s="124"/>
      <c r="I47" s="124"/>
    </row>
    <row r="48" spans="1:9" x14ac:dyDescent="0.2">
      <c r="A48" s="1" t="s">
        <v>882</v>
      </c>
      <c r="B48" s="6">
        <v>753</v>
      </c>
      <c r="C48" s="95">
        <f>'DOE25'!F49</f>
        <v>311274.18</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1523270.8199999998</v>
      </c>
      <c r="D50" s="41">
        <f>SUM(D34:D49)</f>
        <v>0</v>
      </c>
      <c r="E50" s="41">
        <f>SUM(E34:E49)</f>
        <v>114969.65999999922</v>
      </c>
      <c r="F50" s="41">
        <f>SUM(F34:F49)</f>
        <v>0</v>
      </c>
      <c r="G50" s="41">
        <f>SUM(G34:G49)</f>
        <v>321398</v>
      </c>
      <c r="H50" s="124"/>
      <c r="I50" s="124"/>
    </row>
    <row r="51" spans="1:9" ht="12" thickTop="1" x14ac:dyDescent="0.2">
      <c r="A51" s="38" t="s">
        <v>885</v>
      </c>
      <c r="B51" s="2"/>
      <c r="C51" s="41">
        <f>C50+C31</f>
        <v>1478002.5899999999</v>
      </c>
      <c r="D51" s="41">
        <f>D50+D31</f>
        <v>276416.57</v>
      </c>
      <c r="E51" s="41">
        <f>E50+E31</f>
        <v>495654.89999999932</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4467353</v>
      </c>
      <c r="D56" s="95">
        <f>'DOE25'!G60</f>
        <v>0</v>
      </c>
      <c r="E56" s="95">
        <f>'DOE25'!H60</f>
        <v>0</v>
      </c>
      <c r="F56" s="95">
        <f>'DOE25'!I60</f>
        <v>0</v>
      </c>
      <c r="G56" s="95">
        <f>'DOE25'!J60</f>
        <v>0</v>
      </c>
      <c r="H56"/>
      <c r="I56"/>
    </row>
    <row r="57" spans="1:9" x14ac:dyDescent="0.2">
      <c r="A57" s="1" t="s">
        <v>164</v>
      </c>
      <c r="B57" s="6" t="s">
        <v>165</v>
      </c>
      <c r="C57" s="95">
        <f>'DOE25'!F79</f>
        <v>18293.490000000002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2083.65</v>
      </c>
      <c r="D59" s="95">
        <f>'DOE25'!G96</f>
        <v>38.11</v>
      </c>
      <c r="E59" s="95">
        <f>'DOE25'!H96</f>
        <v>0</v>
      </c>
      <c r="F59" s="95">
        <f>'DOE25'!I96</f>
        <v>0</v>
      </c>
      <c r="G59" s="95">
        <f>'DOE25'!J96</f>
        <v>0</v>
      </c>
      <c r="H59"/>
      <c r="I59"/>
    </row>
    <row r="60" spans="1:9" x14ac:dyDescent="0.2">
      <c r="A60" s="1" t="s">
        <v>170</v>
      </c>
      <c r="B60" s="118" t="s">
        <v>171</v>
      </c>
      <c r="C60" s="24" t="s">
        <v>288</v>
      </c>
      <c r="D60" s="95">
        <f>'DOE25'!G97</f>
        <v>1858.2599999999998</v>
      </c>
      <c r="E60" s="24" t="s">
        <v>288</v>
      </c>
      <c r="F60" s="24" t="s">
        <v>288</v>
      </c>
      <c r="G60" s="24" t="s">
        <v>288</v>
      </c>
      <c r="H60"/>
      <c r="I60"/>
    </row>
    <row r="61" spans="1:9" ht="12" thickBot="1" x14ac:dyDescent="0.25">
      <c r="A61" s="1" t="s">
        <v>172</v>
      </c>
      <c r="B61" s="118" t="s">
        <v>173</v>
      </c>
      <c r="C61" s="95">
        <f>SUM('DOE25'!F98:F110)</f>
        <v>225824.63999999998</v>
      </c>
      <c r="D61" s="95">
        <f>SUM('DOE25'!G98:G110)</f>
        <v>0</v>
      </c>
      <c r="E61" s="95">
        <f>SUM('DOE25'!H98:H110)</f>
        <v>78781.31</v>
      </c>
      <c r="F61" s="95">
        <f>SUM('DOE25'!I98:I110)</f>
        <v>0</v>
      </c>
      <c r="G61" s="95">
        <f>SUM('DOE25'!J98:J110)</f>
        <v>0</v>
      </c>
      <c r="H61"/>
      <c r="I61"/>
    </row>
    <row r="62" spans="1:9" ht="12.75" thickTop="1" thickBot="1" x14ac:dyDescent="0.25">
      <c r="A62" s="29" t="s">
        <v>174</v>
      </c>
      <c r="B62" s="6"/>
      <c r="C62" s="130">
        <f>SUM(C57:C61)</f>
        <v>246201.78</v>
      </c>
      <c r="D62" s="130">
        <f>SUM(D57:D61)</f>
        <v>1896.3699999999997</v>
      </c>
      <c r="E62" s="130">
        <f>SUM(E57:E61)</f>
        <v>78781.31</v>
      </c>
      <c r="F62" s="130">
        <f>SUM(F57:F61)</f>
        <v>0</v>
      </c>
      <c r="G62" s="130">
        <f>SUM(G57:G61)</f>
        <v>0</v>
      </c>
      <c r="H62"/>
      <c r="I62"/>
    </row>
    <row r="63" spans="1:9" ht="12" thickTop="1" x14ac:dyDescent="0.2">
      <c r="A63" s="29" t="s">
        <v>175</v>
      </c>
      <c r="B63" s="6"/>
      <c r="C63" s="22">
        <f>C56+C62</f>
        <v>4713554.78</v>
      </c>
      <c r="D63" s="22">
        <f>D56+D62</f>
        <v>1896.3699999999997</v>
      </c>
      <c r="E63" s="22">
        <f>E56+E62</f>
        <v>78781.31</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8701824.3599999994</v>
      </c>
      <c r="D66" s="24" t="s">
        <v>288</v>
      </c>
      <c r="E66" s="24" t="s">
        <v>288</v>
      </c>
      <c r="F66" s="24" t="s">
        <v>288</v>
      </c>
      <c r="G66" s="24" t="s">
        <v>288</v>
      </c>
      <c r="H66"/>
      <c r="I66"/>
    </row>
    <row r="67" spans="1:9" x14ac:dyDescent="0.2">
      <c r="A67" s="1" t="s">
        <v>770</v>
      </c>
      <c r="B67" s="6">
        <v>3112</v>
      </c>
      <c r="C67" s="95">
        <f>'DOE25'!F118</f>
        <v>1201740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39603.919999999998</v>
      </c>
      <c r="D69" s="95">
        <f>'DOE25'!G120</f>
        <v>0</v>
      </c>
      <c r="E69" s="95">
        <f>'DOE25'!H120</f>
        <v>0</v>
      </c>
      <c r="F69" s="95">
        <f>'DOE25'!I120</f>
        <v>0</v>
      </c>
      <c r="G69" s="95">
        <f>'DOE25'!J120</f>
        <v>0</v>
      </c>
      <c r="H69"/>
      <c r="I69"/>
    </row>
    <row r="70" spans="1:9" ht="12" thickTop="1" x14ac:dyDescent="0.2">
      <c r="A70" s="29" t="s">
        <v>252</v>
      </c>
      <c r="B70" s="2"/>
      <c r="C70" s="139">
        <f>SUM(C66:C69)</f>
        <v>9943168.2799999993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81944.160000000003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152885.28</v>
      </c>
      <c r="D75" s="24" t="s">
        <v>288</v>
      </c>
      <c r="E75" s="24" t="s">
        <v>288</v>
      </c>
      <c r="F75" s="24" t="s">
        <v>288</v>
      </c>
      <c r="G75" s="24" t="s">
        <v>288</v>
      </c>
      <c r="H75"/>
      <c r="I75"/>
    </row>
    <row r="76" spans="1:9" x14ac:dyDescent="0.2">
      <c r="A76" s="1" t="s">
        <v>257</v>
      </c>
      <c r="B76" s="6" t="s">
        <v>179</v>
      </c>
      <c r="C76" s="95">
        <f>SUM('DOE25'!F127:F130)</f>
        <v>5122.03</v>
      </c>
      <c r="D76" s="24" t="s">
        <v>288</v>
      </c>
      <c r="E76" s="95">
        <f>SUM('DOE25'!H127:H130)</f>
        <v>4062.82</v>
      </c>
      <c r="F76" s="95">
        <f>SUM('DOE25'!I127:I130)</f>
        <v>0</v>
      </c>
      <c r="G76" s="24" t="s">
        <v>288</v>
      </c>
      <c r="H76"/>
      <c r="I76"/>
    </row>
    <row r="77" spans="1:9" ht="12" thickBot="1" x14ac:dyDescent="0.25">
      <c r="A77" s="1" t="s">
        <v>258</v>
      </c>
      <c r="B77" s="6" t="s">
        <v>180</v>
      </c>
      <c r="C77" s="95">
        <f>SUM('DOE25'!F131:F135)</f>
        <v>0</v>
      </c>
      <c r="D77" s="95">
        <f>SUM('DOE25'!G131:G135)</f>
        <v>11044.81</v>
      </c>
      <c r="E77" s="95">
        <f>SUM('DOE25'!H131:H135)</f>
        <v>176598.55</v>
      </c>
      <c r="F77" s="95">
        <f>SUM('DOE25'!I131:I135)</f>
        <v>0</v>
      </c>
      <c r="G77" s="95">
        <f>SUM('DOE25'!J131:J135)</f>
        <v>0</v>
      </c>
      <c r="H77"/>
      <c r="I77"/>
    </row>
    <row r="78" spans="1:9" ht="12.75" thickTop="1" thickBot="1" x14ac:dyDescent="0.25">
      <c r="A78" s="29" t="s">
        <v>259</v>
      </c>
      <c r="B78" s="6"/>
      <c r="C78" s="130">
        <f>SUM(C72:C77)</f>
        <v>239951.47</v>
      </c>
      <c r="D78" s="130">
        <f>SUM(D72:D77)</f>
        <v>11044.81</v>
      </c>
      <c r="E78" s="130">
        <f>SUM(E72:E77)</f>
        <v>180661.37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10183119.75</v>
      </c>
      <c r="D81" s="130">
        <f>SUM(D79:D80)+D78+D70</f>
        <v>11044.81</v>
      </c>
      <c r="E81" s="130">
        <f>SUM(E79:E80)+E78+E70</f>
        <v>180661.37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162931.81</v>
      </c>
      <c r="D88" s="331">
        <f>SUM('DOE25'!G153:G162)</f>
        <v>667578.00000000012</v>
      </c>
      <c r="E88" s="331">
        <f>SUM('DOE25'!H153:H162)</f>
        <v>1952686.07</v>
      </c>
      <c r="F88" s="331">
        <f>SUM('DOE25'!I153:I162)</f>
        <v>0</v>
      </c>
      <c r="G88" s="24" t="s">
        <v>288</v>
      </c>
    </row>
    <row r="89" spans="1:9" x14ac:dyDescent="0.2">
      <c r="A89" t="s">
        <v>748</v>
      </c>
      <c r="B89" s="32" t="s">
        <v>185</v>
      </c>
      <c r="C89" s="95">
        <f>'DOE25'!F164+'DOE25'!F167+'DOE25'!F169</f>
        <v>54062.400000000001</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216994.21</v>
      </c>
      <c r="D91" s="131">
        <f>SUM(D85:D90)</f>
        <v>667578.00000000012</v>
      </c>
      <c r="E91" s="131">
        <f>SUM(E85:E90)</f>
        <v>1952686.07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34638.1</v>
      </c>
      <c r="E96" s="95">
        <f>'DOE25'!H180</f>
        <v>29087.35</v>
      </c>
      <c r="F96" s="95">
        <f>'DOE25'!I180</f>
        <v>0</v>
      </c>
      <c r="G96" s="95">
        <f>'DOE25'!J180</f>
        <v>0</v>
      </c>
    </row>
    <row r="97" spans="1:7" x14ac:dyDescent="0.2">
      <c r="A97" t="s">
        <v>754</v>
      </c>
      <c r="B97" s="32" t="s">
        <v>188</v>
      </c>
      <c r="C97" s="95">
        <f>SUM('DOE25'!F181:F182)</f>
        <v>55850.44</v>
      </c>
      <c r="D97" s="95">
        <f>SUM('DOE25'!G181:G182)</f>
        <v>38044.129999999997</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55850.44</v>
      </c>
      <c r="D103" s="86">
        <f>SUM(D93:D102)</f>
        <v>72682.23</v>
      </c>
      <c r="E103" s="86">
        <f>SUM(E93:E102)</f>
        <v>29087.35</v>
      </c>
      <c r="F103" s="86">
        <f>SUM(F93:F102)</f>
        <v>0</v>
      </c>
      <c r="G103" s="86">
        <f>SUM(G93:G102)</f>
        <v>0</v>
      </c>
    </row>
    <row r="104" spans="1:7" ht="12.75" thickTop="1" thickBot="1" x14ac:dyDescent="0.25">
      <c r="A104" s="33" t="s">
        <v>761</v>
      </c>
      <c r="C104" s="86">
        <f>C63+C81+C91+C103</f>
        <v>15169519.180000002</v>
      </c>
      <c r="D104" s="86">
        <f>D63+D81+D91+D103</f>
        <v>753201.41000000015</v>
      </c>
      <c r="E104" s="86">
        <f>E63+E81+E91+E103</f>
        <v>2241216.1</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4859486.49</v>
      </c>
      <c r="D109" s="24" t="s">
        <v>288</v>
      </c>
      <c r="E109" s="95">
        <f>('DOE25'!L277)+('DOE25'!L296)+('DOE25'!L315)</f>
        <v>837637.1100000001</v>
      </c>
      <c r="F109" s="24" t="s">
        <v>288</v>
      </c>
      <c r="G109" s="24" t="s">
        <v>288</v>
      </c>
    </row>
    <row r="110" spans="1:7" x14ac:dyDescent="0.2">
      <c r="A110" t="s">
        <v>198</v>
      </c>
      <c r="B110" s="32" t="s">
        <v>199</v>
      </c>
      <c r="C110" s="95">
        <f>('DOE25'!L199)+('DOE25'!L217)+('DOE25'!L235)</f>
        <v>2889912.0400000005</v>
      </c>
      <c r="D110" s="24" t="s">
        <v>288</v>
      </c>
      <c r="E110" s="95">
        <f>('DOE25'!L278)+('DOE25'!L297)+('DOE25'!L316)</f>
        <v>295675.83</v>
      </c>
      <c r="F110" s="24" t="s">
        <v>288</v>
      </c>
      <c r="G110" s="24" t="s">
        <v>288</v>
      </c>
    </row>
    <row r="111" spans="1:7" x14ac:dyDescent="0.2">
      <c r="A111" t="s">
        <v>200</v>
      </c>
      <c r="B111" s="32" t="s">
        <v>165</v>
      </c>
      <c r="C111" s="95">
        <f>('DOE25'!L200)+('DOE25'!L218)+('DOE25'!L236)</f>
        <v>54736.81</v>
      </c>
      <c r="D111" s="24" t="s">
        <v>288</v>
      </c>
      <c r="E111" s="95">
        <f>('DOE25'!L279)+('DOE25'!L298)+('DOE25'!L317)</f>
        <v>0</v>
      </c>
      <c r="F111" s="24" t="s">
        <v>288</v>
      </c>
      <c r="G111" s="24" t="s">
        <v>288</v>
      </c>
    </row>
    <row r="112" spans="1:7" x14ac:dyDescent="0.2">
      <c r="A112" t="s">
        <v>201</v>
      </c>
      <c r="B112" s="32" t="s">
        <v>167</v>
      </c>
      <c r="C112" s="95">
        <f>('DOE25'!L201)+('DOE25'!L219)+('DOE25'!L237)</f>
        <v>240341</v>
      </c>
      <c r="D112" s="24" t="s">
        <v>288</v>
      </c>
      <c r="E112" s="95">
        <f>+('DOE25'!L280)+('DOE25'!L299)+('DOE25'!L318)</f>
        <v>16346.09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21472.57</v>
      </c>
      <c r="D114" s="24" t="s">
        <v>288</v>
      </c>
      <c r="E114" s="95">
        <f>+ SUM('DOE25'!L334:L336)</f>
        <v>29189.83</v>
      </c>
      <c r="F114" s="24" t="s">
        <v>288</v>
      </c>
      <c r="G114" s="24" t="s">
        <v>288</v>
      </c>
    </row>
    <row r="115" spans="1:7" ht="12.75" thickTop="1" thickBot="1" x14ac:dyDescent="0.25">
      <c r="A115" s="33" t="s">
        <v>205</v>
      </c>
      <c r="C115" s="86">
        <f>SUM(C109:C114)</f>
        <v>8065948.9100000011</v>
      </c>
      <c r="D115" s="86">
        <f>SUM(D109:D114)</f>
        <v>0</v>
      </c>
      <c r="E115" s="86">
        <f>SUM(E109:E114)</f>
        <v>1178848.8600000003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1921890.63</v>
      </c>
      <c r="D118" s="24" t="s">
        <v>288</v>
      </c>
      <c r="E118" s="95">
        <f>+('DOE25'!L282)+('DOE25'!L301)+('DOE25'!L320)</f>
        <v>307851.86</v>
      </c>
      <c r="F118" s="24" t="s">
        <v>288</v>
      </c>
      <c r="G118" s="24" t="s">
        <v>288</v>
      </c>
    </row>
    <row r="119" spans="1:7" x14ac:dyDescent="0.2">
      <c r="A119" t="s">
        <v>208</v>
      </c>
      <c r="B119" s="32" t="s">
        <v>209</v>
      </c>
      <c r="C119" s="95">
        <f>('DOE25'!L204)+('DOE25'!L222)+('DOE25'!L240)</f>
        <v>339181.25</v>
      </c>
      <c r="D119" s="24" t="s">
        <v>288</v>
      </c>
      <c r="E119" s="95">
        <f>+('DOE25'!L283)+('DOE25'!L302)+('DOE25'!L321)</f>
        <v>212706.23</v>
      </c>
      <c r="F119" s="24" t="s">
        <v>288</v>
      </c>
      <c r="G119" s="24" t="s">
        <v>288</v>
      </c>
    </row>
    <row r="120" spans="1:7" x14ac:dyDescent="0.2">
      <c r="A120" t="s">
        <v>210</v>
      </c>
      <c r="B120" s="32" t="s">
        <v>211</v>
      </c>
      <c r="C120" s="95">
        <f>('DOE25'!L205)+('DOE25'!L223)+('DOE25'!L241)</f>
        <v>368410.57000000007</v>
      </c>
      <c r="D120" s="24" t="s">
        <v>288</v>
      </c>
      <c r="E120" s="95">
        <f>+('DOE25'!L284)+('DOE25'!L303)+('DOE25'!L322)</f>
        <v>184108.94</v>
      </c>
      <c r="F120" s="24" t="s">
        <v>288</v>
      </c>
      <c r="G120" s="24" t="s">
        <v>288</v>
      </c>
    </row>
    <row r="121" spans="1:7" x14ac:dyDescent="0.2">
      <c r="A121" t="s">
        <v>212</v>
      </c>
      <c r="B121" s="32" t="s">
        <v>213</v>
      </c>
      <c r="C121" s="95">
        <f>('DOE25'!L206)+('DOE25'!L224)+('DOE25'!L242)</f>
        <v>847331.92</v>
      </c>
      <c r="D121" s="24" t="s">
        <v>288</v>
      </c>
      <c r="E121" s="95">
        <f>+('DOE25'!L285)+('DOE25'!L304)+('DOE25'!L323)</f>
        <v>3823.84</v>
      </c>
      <c r="F121" s="24" t="s">
        <v>288</v>
      </c>
      <c r="G121" s="24" t="s">
        <v>288</v>
      </c>
    </row>
    <row r="122" spans="1:7" x14ac:dyDescent="0.2">
      <c r="A122" t="s">
        <v>214</v>
      </c>
      <c r="B122" s="32" t="s">
        <v>215</v>
      </c>
      <c r="C122" s="95">
        <f>('DOE25'!L207)+('DOE25'!L225)+('DOE25'!L243)</f>
        <v>289305.46000000002</v>
      </c>
      <c r="D122" s="24" t="s">
        <v>288</v>
      </c>
      <c r="E122" s="95">
        <f>+('DOE25'!L286)+('DOE25'!L305)+('DOE25'!L324)</f>
        <v>0</v>
      </c>
      <c r="F122" s="24" t="s">
        <v>288</v>
      </c>
      <c r="G122" s="24" t="s">
        <v>288</v>
      </c>
    </row>
    <row r="123" spans="1:7" x14ac:dyDescent="0.2">
      <c r="A123" t="s">
        <v>216</v>
      </c>
      <c r="B123" s="32" t="s">
        <v>217</v>
      </c>
      <c r="C123" s="95">
        <f>('DOE25'!L208)+('DOE25'!L226)+('DOE25'!L244)</f>
        <v>1153747.6600000001</v>
      </c>
      <c r="D123" s="24" t="s">
        <v>288</v>
      </c>
      <c r="E123" s="95">
        <f>+('DOE25'!L287)+('DOE25'!L306)+('DOE25'!L325)</f>
        <v>275552.67</v>
      </c>
      <c r="F123" s="24" t="s">
        <v>288</v>
      </c>
      <c r="G123" s="24" t="s">
        <v>288</v>
      </c>
    </row>
    <row r="124" spans="1:7" x14ac:dyDescent="0.2">
      <c r="A124" t="s">
        <v>218</v>
      </c>
      <c r="B124" s="32" t="s">
        <v>219</v>
      </c>
      <c r="C124" s="95">
        <f>('DOE25'!L209)+('DOE25'!L227)+('DOE25'!L245+'DOE25'!L255)</f>
        <v>621830.35</v>
      </c>
      <c r="D124" s="24" t="s">
        <v>288</v>
      </c>
      <c r="E124" s="95">
        <f>+('DOE25'!L288)+('DOE25'!L307)+('DOE25'!L326)</f>
        <v>9986.07</v>
      </c>
      <c r="F124" s="24" t="s">
        <v>288</v>
      </c>
      <c r="G124" s="24" t="s">
        <v>288</v>
      </c>
    </row>
    <row r="125" spans="1:7" x14ac:dyDescent="0.2">
      <c r="A125" t="s">
        <v>220</v>
      </c>
      <c r="B125" s="32" t="s">
        <v>221</v>
      </c>
      <c r="C125" s="95">
        <f>('DOE25'!L210)+('DOE25'!L228)+('DOE25'!L246)</f>
        <v>236137.69</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753201.41</v>
      </c>
      <c r="E127" s="24" t="s">
        <v>288</v>
      </c>
      <c r="F127" s="24" t="s">
        <v>288</v>
      </c>
      <c r="G127" s="24" t="s">
        <v>288</v>
      </c>
    </row>
    <row r="128" spans="1:7" ht="12.75" thickTop="1" thickBot="1" x14ac:dyDescent="0.25">
      <c r="A128" s="33" t="s">
        <v>226</v>
      </c>
      <c r="C128" s="86">
        <f>SUM(C118:C127)</f>
        <v>5777835.5300000003</v>
      </c>
      <c r="D128" s="86">
        <f>SUM(D118:D127)</f>
        <v>753201.41</v>
      </c>
      <c r="E128" s="86">
        <f>SUM(E118:E127)</f>
        <v>994029.61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214619.37</v>
      </c>
      <c r="D131" s="24" t="s">
        <v>288</v>
      </c>
      <c r="E131" s="129">
        <f>'DOE25'!L342</f>
        <v>0</v>
      </c>
      <c r="F131" s="24" t="s">
        <v>288</v>
      </c>
      <c r="G131" s="24" t="s">
        <v>288</v>
      </c>
    </row>
    <row r="132" spans="1:7" x14ac:dyDescent="0.2">
      <c r="A132" t="s">
        <v>230</v>
      </c>
      <c r="B132" s="32">
        <v>5120</v>
      </c>
      <c r="C132" s="95">
        <f>'DOE25'!L262</f>
        <v>104104.92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55850.46</v>
      </c>
      <c r="F134" s="95">
        <f>'DOE25'!K382</f>
        <v>0</v>
      </c>
      <c r="G134" s="95">
        <f>'DOE25'!K435</f>
        <v>0</v>
      </c>
    </row>
    <row r="135" spans="1:7" x14ac:dyDescent="0.2">
      <c r="A135" t="s">
        <v>233</v>
      </c>
      <c r="B135" s="32" t="s">
        <v>234</v>
      </c>
      <c r="C135" s="95">
        <f>'DOE25'!L264</f>
        <v>34638.1</v>
      </c>
      <c r="D135" s="24" t="s">
        <v>288</v>
      </c>
      <c r="E135" s="129">
        <f>'DOE25'!L346</f>
        <v>38044.129999999997</v>
      </c>
      <c r="F135" s="24" t="s">
        <v>288</v>
      </c>
      <c r="G135" s="24" t="s">
        <v>288</v>
      </c>
    </row>
    <row r="136" spans="1:7" x14ac:dyDescent="0.2">
      <c r="A136" t="s">
        <v>235</v>
      </c>
      <c r="B136" s="32" t="s">
        <v>236</v>
      </c>
      <c r="C136" s="95">
        <f>'DOE25'!L265</f>
        <v>29087.350000000002</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382449.73999999993</v>
      </c>
      <c r="D144" s="141">
        <f>SUM(D130:D143)</f>
        <v>0</v>
      </c>
      <c r="E144" s="141">
        <f>SUM(E130:E143)</f>
        <v>93894.59</v>
      </c>
      <c r="F144" s="141">
        <f>SUM(F130:F143)</f>
        <v>0</v>
      </c>
      <c r="G144" s="141">
        <f>SUM(G130:G143)</f>
        <v>0</v>
      </c>
    </row>
    <row r="145" spans="1:9" ht="12.75" thickTop="1" thickBot="1" x14ac:dyDescent="0.25">
      <c r="A145" s="33" t="s">
        <v>244</v>
      </c>
      <c r="C145" s="86">
        <f>(C115+C128+C144)</f>
        <v>14226234.180000002</v>
      </c>
      <c r="D145" s="86">
        <f>(D115+D128+D144)</f>
        <v>753201.41</v>
      </c>
      <c r="E145" s="86">
        <f>(E115+E128+E144)</f>
        <v>2266773.06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05/06</v>
      </c>
      <c r="C152" s="152" t="str">
        <f>'DOE25'!G492</f>
        <v>08/19</v>
      </c>
      <c r="D152" s="152">
        <f>'DOE25'!H492</f>
        <v>0</v>
      </c>
      <c r="E152" s="152">
        <f>'DOE25'!I492</f>
        <v>0</v>
      </c>
      <c r="F152" s="152">
        <f>'DOE25'!J492</f>
        <v>0</v>
      </c>
      <c r="G152" s="24" t="s">
        <v>288</v>
      </c>
    </row>
    <row r="153" spans="1:9" x14ac:dyDescent="0.2">
      <c r="A153" s="136" t="s">
        <v>29</v>
      </c>
      <c r="B153" s="152" t="str">
        <f>'DOE25'!F493</f>
        <v>05/26</v>
      </c>
      <c r="C153" s="152" t="str">
        <f>'DOE25'!G493</f>
        <v>08/39</v>
      </c>
      <c r="D153" s="152">
        <f>'DOE25'!H493</f>
        <v>0</v>
      </c>
      <c r="E153" s="152">
        <f>'DOE25'!I493</f>
        <v>0</v>
      </c>
      <c r="F153" s="152">
        <f>'DOE25'!J493</f>
        <v>0</v>
      </c>
      <c r="G153" s="24" t="s">
        <v>288</v>
      </c>
    </row>
    <row r="154" spans="1:9" x14ac:dyDescent="0.2">
      <c r="A154" s="136" t="s">
        <v>30</v>
      </c>
      <c r="B154" s="137">
        <f>'DOE25'!F494</f>
        <v>2700000</v>
      </c>
      <c r="C154" s="137">
        <f>'DOE25'!G494</f>
        <v>2000000</v>
      </c>
      <c r="D154" s="137">
        <f>'DOE25'!H494</f>
        <v>0</v>
      </c>
      <c r="E154" s="137">
        <f>'DOE25'!I494</f>
        <v>0</v>
      </c>
      <c r="F154" s="137">
        <f>'DOE25'!J494</f>
        <v>0</v>
      </c>
      <c r="G154" s="24" t="s">
        <v>288</v>
      </c>
    </row>
    <row r="155" spans="1:9" x14ac:dyDescent="0.2">
      <c r="A155" s="136" t="s">
        <v>31</v>
      </c>
      <c r="B155" s="137">
        <f>'DOE25'!F495</f>
        <v>4.26</v>
      </c>
      <c r="C155" s="137">
        <f>'DOE25'!G495</f>
        <v>3.55</v>
      </c>
      <c r="D155" s="137">
        <f>'DOE25'!H495</f>
        <v>0</v>
      </c>
      <c r="E155" s="137">
        <f>'DOE25'!I495</f>
        <v>0</v>
      </c>
      <c r="F155" s="137">
        <f>'DOE25'!J495</f>
        <v>0</v>
      </c>
      <c r="G155" s="24" t="s">
        <v>288</v>
      </c>
    </row>
    <row r="156" spans="1:9" x14ac:dyDescent="0.2">
      <c r="A156" s="22" t="s">
        <v>32</v>
      </c>
      <c r="B156" s="137">
        <f>'DOE25'!F496</f>
        <v>1012446.67</v>
      </c>
      <c r="C156" s="137">
        <f>'DOE25'!G496</f>
        <v>1928907</v>
      </c>
      <c r="D156" s="137">
        <f>'DOE25'!H496</f>
        <v>0</v>
      </c>
      <c r="E156" s="137">
        <f>'DOE25'!I496</f>
        <v>0</v>
      </c>
      <c r="F156" s="137">
        <f>'DOE25'!J496</f>
        <v>0</v>
      </c>
      <c r="G156" s="138">
        <f>SUM(B156:F156)</f>
        <v>2941353.67</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142105.26</v>
      </c>
      <c r="C158" s="137">
        <f>'DOE25'!G498</f>
        <v>72514.11</v>
      </c>
      <c r="D158" s="137">
        <f>'DOE25'!H498</f>
        <v>0</v>
      </c>
      <c r="E158" s="137">
        <f>'DOE25'!I498</f>
        <v>0</v>
      </c>
      <c r="F158" s="137">
        <f>'DOE25'!J498</f>
        <v>0</v>
      </c>
      <c r="G158" s="138">
        <f t="shared" si="0"/>
        <v>214619.37</v>
      </c>
    </row>
    <row r="159" spans="1:9" x14ac:dyDescent="0.2">
      <c r="A159" s="22" t="s">
        <v>35</v>
      </c>
      <c r="B159" s="137">
        <f>'DOE25'!F499</f>
        <v>870341.41</v>
      </c>
      <c r="C159" s="137">
        <f>'DOE25'!G499</f>
        <v>1856392.89</v>
      </c>
      <c r="D159" s="137">
        <f>'DOE25'!H499</f>
        <v>0</v>
      </c>
      <c r="E159" s="137">
        <f>'DOE25'!I499</f>
        <v>0</v>
      </c>
      <c r="F159" s="137">
        <f>'DOE25'!J499</f>
        <v>0</v>
      </c>
      <c r="G159" s="138">
        <f t="shared" si="0"/>
        <v>2726734.3</v>
      </c>
    </row>
    <row r="160" spans="1:9" x14ac:dyDescent="0.2">
      <c r="A160" s="22" t="s">
        <v>36</v>
      </c>
      <c r="B160" s="137">
        <f>'DOE25'!F500</f>
        <v>84658.63</v>
      </c>
      <c r="C160" s="137">
        <f>'DOE25'!G500</f>
        <v>696697.67</v>
      </c>
      <c r="D160" s="137">
        <f>'DOE25'!H500</f>
        <v>0</v>
      </c>
      <c r="E160" s="137">
        <f>'DOE25'!I500</f>
        <v>0</v>
      </c>
      <c r="F160" s="137">
        <f>'DOE25'!J500</f>
        <v>0</v>
      </c>
      <c r="G160" s="138">
        <f t="shared" si="0"/>
        <v>781356.3</v>
      </c>
    </row>
    <row r="161" spans="1:7" x14ac:dyDescent="0.2">
      <c r="A161" s="22" t="s">
        <v>37</v>
      </c>
      <c r="B161" s="137">
        <f>'DOE25'!F501</f>
        <v>955000.04</v>
      </c>
      <c r="C161" s="137">
        <f>'DOE25'!G501</f>
        <v>2553090.56</v>
      </c>
      <c r="D161" s="137">
        <f>'DOE25'!H501</f>
        <v>0</v>
      </c>
      <c r="E161" s="137">
        <f>'DOE25'!I501</f>
        <v>0</v>
      </c>
      <c r="F161" s="137">
        <f>'DOE25'!J501</f>
        <v>0</v>
      </c>
      <c r="G161" s="138">
        <f t="shared" si="0"/>
        <v>3508090.6</v>
      </c>
    </row>
    <row r="162" spans="1:7" x14ac:dyDescent="0.2">
      <c r="A162" s="22" t="s">
        <v>38</v>
      </c>
      <c r="B162" s="137">
        <f>'DOE25'!F502</f>
        <v>142105.26</v>
      </c>
      <c r="C162" s="137">
        <f>'DOE25'!G502</f>
        <v>75225.88</v>
      </c>
      <c r="D162" s="137">
        <f>'DOE25'!H502</f>
        <v>0</v>
      </c>
      <c r="E162" s="137">
        <f>'DOE25'!I502</f>
        <v>0</v>
      </c>
      <c r="F162" s="137">
        <f>'DOE25'!J502</f>
        <v>0</v>
      </c>
      <c r="G162" s="138">
        <f t="shared" si="0"/>
        <v>217331.14</v>
      </c>
    </row>
    <row r="163" spans="1:7" x14ac:dyDescent="0.2">
      <c r="A163" s="22" t="s">
        <v>39</v>
      </c>
      <c r="B163" s="137">
        <f>'DOE25'!F503</f>
        <v>28958</v>
      </c>
      <c r="C163" s="137">
        <f>'DOE25'!G503</f>
        <v>66667.12</v>
      </c>
      <c r="D163" s="137">
        <f>'DOE25'!H503</f>
        <v>0</v>
      </c>
      <c r="E163" s="137">
        <f>'DOE25'!I503</f>
        <v>0</v>
      </c>
      <c r="F163" s="137">
        <f>'DOE25'!J503</f>
        <v>0</v>
      </c>
      <c r="G163" s="138">
        <f t="shared" si="0"/>
        <v>95625.12</v>
      </c>
    </row>
    <row r="164" spans="1:7" x14ac:dyDescent="0.2">
      <c r="A164" s="22" t="s">
        <v>246</v>
      </c>
      <c r="B164" s="137">
        <f>'DOE25'!F504</f>
        <v>171063.26</v>
      </c>
      <c r="C164" s="137">
        <f>'DOE25'!G504</f>
        <v>141893</v>
      </c>
      <c r="D164" s="137">
        <f>'DOE25'!H504</f>
        <v>0</v>
      </c>
      <c r="E164" s="137">
        <f>'DOE25'!I504</f>
        <v>0</v>
      </c>
      <c r="F164" s="137">
        <f>'DOE25'!J504</f>
        <v>0</v>
      </c>
      <c r="G164" s="138">
        <f t="shared" si="0"/>
        <v>312956.26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Franklin School District</v>
      </c>
    </row>
    <row r="3" spans="1:4" x14ac:dyDescent="0.2">
      <c r="B3" s="188" t="s">
        <v>1666</v>
      </c>
    </row>
    <row r="4" spans="1:4" x14ac:dyDescent="0.2">
      <c r="B4" t="s">
        <v>61</v>
      </c>
      <c r="C4" s="179">
        <f>IF('DOE25'!F666+'DOE25'!F671=0,0,ROUND('DOE25'!F673,0))</f>
        <v>15951</v>
      </c>
    </row>
    <row r="5" spans="1:4" x14ac:dyDescent="0.2">
      <c r="B5" t="s">
        <v>700</v>
      </c>
      <c r="C5" s="179">
        <f>IF('DOE25'!G666+'DOE25'!G671=0,0,ROUND('DOE25'!G673,0))</f>
        <v>0</v>
      </c>
    </row>
    <row r="6" spans="1:4" x14ac:dyDescent="0.2">
      <c r="B6" t="s">
        <v>62</v>
      </c>
      <c r="C6" s="179">
        <f>IF('DOE25'!H666+'DOE25'!H671=0,0,ROUND('DOE25'!H673,0))</f>
        <v>18251</v>
      </c>
    </row>
    <row r="7" spans="1:4" x14ac:dyDescent="0.2">
      <c r="B7" t="s">
        <v>701</v>
      </c>
      <c r="C7" s="179">
        <f>IF('DOE25'!I666+'DOE25'!I671=0,0,ROUND('DOE25'!I673,0))</f>
        <v>16608</v>
      </c>
    </row>
    <row r="9" spans="1:4" x14ac:dyDescent="0.2">
      <c r="A9" s="187" t="s">
        <v>94</v>
      </c>
      <c r="B9" s="188" t="s">
        <v>1671</v>
      </c>
      <c r="C9" s="181" t="s">
        <v>720</v>
      </c>
      <c r="D9" s="181" t="s">
        <v>721</v>
      </c>
    </row>
    <row r="10" spans="1:4" x14ac:dyDescent="0.2">
      <c r="A10">
        <v>1100</v>
      </c>
      <c r="B10" t="s">
        <v>702</v>
      </c>
      <c r="C10" s="179">
        <f>ROUND('DOE25'!L198+'DOE25'!L216+'DOE25'!L234+'DOE25'!L277+'DOE25'!L296+'DOE25'!L315,0)</f>
        <v>5697124</v>
      </c>
      <c r="D10" s="182">
        <f>ROUND((C10/$C$28)*100,1)</f>
        <v>33.799999999999997</v>
      </c>
    </row>
    <row r="11" spans="1:4" x14ac:dyDescent="0.2">
      <c r="A11">
        <v>1200</v>
      </c>
      <c r="B11" t="s">
        <v>703</v>
      </c>
      <c r="C11" s="179">
        <f>ROUND('DOE25'!L199+'DOE25'!L217+'DOE25'!L235+'DOE25'!L278+'DOE25'!L297+'DOE25'!L316,0)</f>
        <v>3185588</v>
      </c>
      <c r="D11" s="182">
        <f>ROUND((C11/$C$28)*100,1)</f>
        <v>18.899999999999999</v>
      </c>
    </row>
    <row r="12" spans="1:4" x14ac:dyDescent="0.2">
      <c r="A12">
        <v>1300</v>
      </c>
      <c r="B12" t="s">
        <v>704</v>
      </c>
      <c r="C12" s="179">
        <f>ROUND('DOE25'!L200+'DOE25'!L218+'DOE25'!L236+'DOE25'!L279+'DOE25'!L298+'DOE25'!L317,0)</f>
        <v>54737</v>
      </c>
      <c r="D12" s="182">
        <f>ROUND((C12/$C$28)*100,1)</f>
        <v>0.3</v>
      </c>
    </row>
    <row r="13" spans="1:4" x14ac:dyDescent="0.2">
      <c r="A13">
        <v>1400</v>
      </c>
      <c r="B13" t="s">
        <v>705</v>
      </c>
      <c r="C13" s="179">
        <f>ROUND('DOE25'!L201+'DOE25'!L219+'DOE25'!L237+'DOE25'!L280+'DOE25'!L299+'DOE25'!L318,0)</f>
        <v>256687</v>
      </c>
      <c r="D13" s="182">
        <f>ROUND((C13/$C$28)*100,1)</f>
        <v>1.5</v>
      </c>
    </row>
    <row r="14" spans="1:4" x14ac:dyDescent="0.2">
      <c r="D14" s="182"/>
    </row>
    <row r="15" spans="1:4" x14ac:dyDescent="0.2">
      <c r="A15">
        <v>2100</v>
      </c>
      <c r="B15" t="s">
        <v>706</v>
      </c>
      <c r="C15" s="179">
        <f>ROUND('DOE25'!L203+'DOE25'!L221+'DOE25'!L239+'DOE25'!L282+'DOE25'!L301+'DOE25'!L320,0)</f>
        <v>2229742</v>
      </c>
      <c r="D15" s="182">
        <f t="shared" ref="D15:D27" si="0">ROUND((C15/$C$28)*100,1)</f>
        <v>13.2</v>
      </c>
    </row>
    <row r="16" spans="1:4" x14ac:dyDescent="0.2">
      <c r="A16">
        <v>2200</v>
      </c>
      <c r="B16" t="s">
        <v>707</v>
      </c>
      <c r="C16" s="179">
        <f>ROUND('DOE25'!L204+'DOE25'!L222+'DOE25'!L240+'DOE25'!L283+'DOE25'!L302+'DOE25'!L321,0)</f>
        <v>551887</v>
      </c>
      <c r="D16" s="182">
        <f t="shared" si="0"/>
        <v>3.3</v>
      </c>
    </row>
    <row r="17" spans="1:4" x14ac:dyDescent="0.2">
      <c r="A17" s="183" t="s">
        <v>723</v>
      </c>
      <c r="B17" t="s">
        <v>738</v>
      </c>
      <c r="C17" s="179">
        <f>ROUND('DOE25'!L205+'DOE25'!L210+'DOE25'!L223+'DOE25'!L228+'DOE25'!L241+'DOE25'!L246+'DOE25'!L284+'DOE25'!L289+'DOE25'!L303+'DOE25'!L308+'DOE25'!L322+'DOE25'!L327,0)</f>
        <v>788657</v>
      </c>
      <c r="D17" s="182">
        <f t="shared" si="0"/>
        <v>4.7</v>
      </c>
    </row>
    <row r="18" spans="1:4" x14ac:dyDescent="0.2">
      <c r="A18">
        <v>2400</v>
      </c>
      <c r="B18" t="s">
        <v>711</v>
      </c>
      <c r="C18" s="179">
        <f>ROUND('DOE25'!L206+'DOE25'!L224+'DOE25'!L242+'DOE25'!L285+'DOE25'!L304+'DOE25'!L323,0)</f>
        <v>851156</v>
      </c>
      <c r="D18" s="182">
        <f t="shared" si="0"/>
        <v>5</v>
      </c>
    </row>
    <row r="19" spans="1:4" x14ac:dyDescent="0.2">
      <c r="A19">
        <v>2500</v>
      </c>
      <c r="B19" t="s">
        <v>708</v>
      </c>
      <c r="C19" s="179">
        <f>ROUND('DOE25'!L207+'DOE25'!L225+'DOE25'!L243+'DOE25'!L286+'DOE25'!L305+'DOE25'!L324,0)</f>
        <v>289305</v>
      </c>
      <c r="D19" s="182">
        <f t="shared" si="0"/>
        <v>1.7</v>
      </c>
    </row>
    <row r="20" spans="1:4" x14ac:dyDescent="0.2">
      <c r="A20">
        <v>2600</v>
      </c>
      <c r="B20" t="s">
        <v>709</v>
      </c>
      <c r="C20" s="179">
        <f>ROUND('DOE25'!L208+'DOE25'!L226+'DOE25'!L244+'DOE25'!L287+'DOE25'!L306+'DOE25'!L325,0)</f>
        <v>1429300</v>
      </c>
      <c r="D20" s="182">
        <f t="shared" si="0"/>
        <v>8.5</v>
      </c>
    </row>
    <row r="21" spans="1:4" x14ac:dyDescent="0.2">
      <c r="A21">
        <v>2700</v>
      </c>
      <c r="B21" t="s">
        <v>710</v>
      </c>
      <c r="C21" s="179">
        <f>ROUND('DOE25'!L209+'DOE25'!L227+'DOE25'!L245+'DOE25'!L288+'DOE25'!L307+'DOE25'!L326,0)</f>
        <v>631816</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50662</v>
      </c>
      <c r="D24" s="182">
        <f t="shared" si="0"/>
        <v>0.3</v>
      </c>
    </row>
    <row r="25" spans="1:4" x14ac:dyDescent="0.2">
      <c r="A25">
        <v>5120</v>
      </c>
      <c r="B25" t="s">
        <v>716</v>
      </c>
      <c r="C25" s="179">
        <f>ROUND('DOE25'!L262+'DOE25'!L343,0)</f>
        <v>104105</v>
      </c>
      <c r="D25" s="182">
        <f t="shared" si="0"/>
        <v>0.6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751342.74</v>
      </c>
      <c r="D27" s="182">
        <f t="shared" si="0"/>
        <v>4.5</v>
      </c>
    </row>
    <row r="28" spans="1:4" x14ac:dyDescent="0.2">
      <c r="B28" s="187" t="s">
        <v>719</v>
      </c>
      <c r="C28" s="180">
        <f>SUM(C10:C27)</f>
        <v>16872108.739999998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16872108.739999998</v>
      </c>
    </row>
    <row r="31" spans="1:4" x14ac:dyDescent="0.2">
      <c r="B31" s="33"/>
      <c r="C31" s="180"/>
    </row>
    <row r="32" spans="1:4" x14ac:dyDescent="0.2">
      <c r="A32">
        <v>5100</v>
      </c>
      <c r="B32" s="33" t="s">
        <v>726</v>
      </c>
      <c r="C32" s="180">
        <f>ROUND('DOE25'!L261+'DOE25'!L342,0)</f>
        <v>214619</v>
      </c>
    </row>
    <row r="34" spans="1:4" x14ac:dyDescent="0.2">
      <c r="A34" s="187" t="s">
        <v>94</v>
      </c>
      <c r="B34" s="188" t="s">
        <v>1667</v>
      </c>
      <c r="C34" s="181" t="s">
        <v>720</v>
      </c>
      <c r="D34" s="181" t="s">
        <v>721</v>
      </c>
    </row>
    <row r="35" spans="1:4" x14ac:dyDescent="0.2">
      <c r="A35">
        <v>1100</v>
      </c>
      <c r="B35" s="185" t="s">
        <v>727</v>
      </c>
      <c r="C35" s="179">
        <f>ROUND('DOE25'!F60+'DOE25'!G60+'DOE25'!H60+'DOE25'!I60+'DOE25'!J60,0)</f>
        <v>4467353</v>
      </c>
      <c r="D35" s="182">
        <f t="shared" ref="D35:D40" si="1">ROUND((C35/$C$41)*100,1)</f>
        <v>24.8</v>
      </c>
    </row>
    <row r="36" spans="1:4" x14ac:dyDescent="0.2">
      <c r="B36" s="185" t="s">
        <v>739</v>
      </c>
      <c r="C36" s="179">
        <f>SUM('DOE25'!F112:J112)-SUM('DOE25'!G97:G110)+('DOE25'!F175+'DOE25'!F176+'DOE25'!I175+'DOE25'!I176)-C35</f>
        <v>325021.20000000019</v>
      </c>
      <c r="D36" s="182">
        <f t="shared" si="1"/>
        <v>1.8</v>
      </c>
    </row>
    <row r="37" spans="1:4" x14ac:dyDescent="0.2">
      <c r="A37" s="183" t="s">
        <v>835</v>
      </c>
      <c r="B37" s="185" t="s">
        <v>728</v>
      </c>
      <c r="C37" s="179">
        <f>ROUND('DOE25'!F117+'DOE25'!F118,0)</f>
        <v>9903564</v>
      </c>
      <c r="D37" s="182">
        <f t="shared" si="1"/>
        <v>55</v>
      </c>
    </row>
    <row r="38" spans="1:4" x14ac:dyDescent="0.2">
      <c r="A38" s="183" t="s">
        <v>734</v>
      </c>
      <c r="B38" s="185" t="s">
        <v>729</v>
      </c>
      <c r="C38" s="179">
        <f>ROUND(SUM('DOE25'!F140:J140)-SUM('DOE25'!F117:F119),0)</f>
        <v>471262</v>
      </c>
      <c r="D38" s="182">
        <f t="shared" si="1"/>
        <v>2.6</v>
      </c>
    </row>
    <row r="39" spans="1:4" x14ac:dyDescent="0.2">
      <c r="A39">
        <v>4000</v>
      </c>
      <c r="B39" s="185" t="s">
        <v>730</v>
      </c>
      <c r="C39" s="179">
        <f>ROUND('DOE25'!F170+'DOE25'!G170+'DOE25'!H170+'DOE25'!I170,0)</f>
        <v>2837258</v>
      </c>
      <c r="D39" s="182">
        <f t="shared" si="1"/>
        <v>15.8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18004458.199999999</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7" sqref="C7:M7"/>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Franklin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3</v>
      </c>
      <c r="B4" s="219">
        <v>24</v>
      </c>
      <c r="C4" s="375" t="s">
        <v>1677</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v>5</v>
      </c>
      <c r="B6" s="219">
        <v>14</v>
      </c>
      <c r="C6" s="375" t="s">
        <v>1678</v>
      </c>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t="s">
        <v>1679</v>
      </c>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2021-12-14T17:56:21Z</dcterms:modified>
</cp:coreProperties>
</file>