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120" yWindow="-120" windowWidth="20730" windowHeight="1176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24" i="17" l="1"/>
  <c r="E22" i="17"/>
  <c r="F50" i="1" l="1"/>
  <c r="E26" i="17" l="1"/>
  <c r="F161" i="1"/>
  <c r="F162" i="1"/>
  <c r="F10" i="1" l="1"/>
  <c r="H278" i="1" l="1"/>
  <c r="E5" i="14" l="1"/>
  <c r="E37" i="14"/>
  <c r="H159" i="1" l="1"/>
  <c r="F466" i="1"/>
  <c r="F29" i="1"/>
  <c r="F24" i="1"/>
  <c r="F14" i="1"/>
  <c r="I234" i="1" l="1"/>
  <c r="I203" i="1"/>
  <c r="I277" i="1"/>
  <c r="F9" i="1" l="1"/>
  <c r="H203" i="1" l="1"/>
  <c r="H198" i="1"/>
  <c r="H399" i="1" l="1"/>
  <c r="H398" i="1"/>
  <c r="J473" i="1"/>
  <c r="J466" i="1"/>
  <c r="G441" i="1"/>
  <c r="E7" i="17" l="1"/>
  <c r="H31" i="17" s="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I121" i="1"/>
  <c r="I136" i="1"/>
  <c r="J121" i="1"/>
  <c r="J136" i="1"/>
  <c r="F147" i="1"/>
  <c r="F170" i="1"/>
  <c r="G147" i="1"/>
  <c r="H147" i="1"/>
  <c r="H170" i="1" s="1"/>
  <c r="I147" i="1"/>
  <c r="C12" i="10"/>
  <c r="C13"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E121"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G471" i="1"/>
  <c r="I471" i="1"/>
  <c r="G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9" i="1"/>
  <c r="H631" i="1"/>
  <c r="H636" i="1"/>
  <c r="H637" i="1"/>
  <c r="H639" i="1"/>
  <c r="G644" i="1"/>
  <c r="G645" i="1"/>
  <c r="G646" i="1"/>
  <c r="G651" i="1"/>
  <c r="G652" i="1"/>
  <c r="G653" i="1"/>
  <c r="H653" i="1"/>
  <c r="G654" i="1"/>
  <c r="H654" i="1"/>
  <c r="G655" i="1"/>
  <c r="H655" i="1"/>
  <c r="H656" i="1"/>
  <c r="J656" i="1" s="1"/>
  <c r="G62" i="2"/>
  <c r="I170" i="1"/>
  <c r="G477" i="1"/>
  <c r="H663" i="1" l="1"/>
  <c r="C110" i="2"/>
  <c r="K353" i="1"/>
  <c r="J652" i="1"/>
  <c r="J258" i="1"/>
  <c r="J140" i="1"/>
  <c r="H140" i="1"/>
  <c r="A40" i="12"/>
  <c r="E123" i="2"/>
  <c r="E128" i="2" s="1"/>
  <c r="E119" i="2"/>
  <c r="E110" i="2"/>
  <c r="D6" i="13"/>
  <c r="C6" i="13" s="1"/>
  <c r="E13" i="13"/>
  <c r="C13" i="13" s="1"/>
  <c r="C120" i="2"/>
  <c r="H409" i="1"/>
  <c r="H645" i="1" s="1"/>
  <c r="J645" i="1" s="1"/>
  <c r="G339" i="1"/>
  <c r="G353" i="1" s="1"/>
  <c r="J572" i="1"/>
  <c r="D50" i="2"/>
  <c r="G553" i="1"/>
  <c r="F258" i="1"/>
  <c r="F272" i="1" s="1"/>
  <c r="C20" i="10"/>
  <c r="I370" i="1"/>
  <c r="H635" i="1" s="1"/>
  <c r="L257" i="1"/>
  <c r="H193" i="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J635" i="1"/>
  <c r="G626" i="1"/>
  <c r="L530" i="1"/>
  <c r="H546" i="1"/>
  <c r="G164" i="2"/>
  <c r="G161" i="2"/>
  <c r="G157" i="2"/>
  <c r="G156" i="2"/>
  <c r="G81" i="2"/>
  <c r="C78" i="2"/>
  <c r="F78" i="2"/>
  <c r="F81" i="2" s="1"/>
  <c r="C70" i="2"/>
  <c r="D62" i="2"/>
  <c r="D63" i="2" s="1"/>
  <c r="E57" i="2"/>
  <c r="E62" i="2" s="1"/>
  <c r="E63" i="2" s="1"/>
  <c r="C26" i="10"/>
  <c r="C18" i="10"/>
  <c r="J641" i="1"/>
  <c r="J546" i="1"/>
  <c r="I477" i="1"/>
  <c r="H626"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C12" i="13"/>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140" i="1"/>
  <c r="B11" i="16" s="1"/>
  <c r="F140" i="1"/>
  <c r="G63" i="2"/>
  <c r="J619" i="1"/>
  <c r="G42" i="2"/>
  <c r="G50" i="2" s="1"/>
  <c r="J51" i="1"/>
  <c r="G16" i="2"/>
  <c r="G18" i="2" s="1"/>
  <c r="J19" i="1"/>
  <c r="G622" i="1" s="1"/>
  <c r="F546" i="1"/>
  <c r="H435" i="1"/>
  <c r="D103" i="2"/>
  <c r="I140" i="1"/>
  <c r="A22" i="12"/>
  <c r="H649" i="1"/>
  <c r="J653" i="1"/>
  <c r="G572" i="1"/>
  <c r="I435" i="1"/>
  <c r="G435" i="1"/>
  <c r="I664" i="1"/>
  <c r="F194" i="1" l="1"/>
  <c r="F469" i="1" s="1"/>
  <c r="E51" i="2"/>
  <c r="F661" i="1"/>
  <c r="F665" i="1" s="1"/>
  <c r="F668" i="1" s="1"/>
  <c r="E115" i="2"/>
  <c r="E145" i="2" s="1"/>
  <c r="C141" i="2"/>
  <c r="C144" i="2" s="1"/>
  <c r="G647" i="1"/>
  <c r="J469" i="1"/>
  <c r="C81" i="2"/>
  <c r="L572" i="1"/>
  <c r="H661" i="1"/>
  <c r="H665" i="1" s="1"/>
  <c r="H668" i="1" s="1"/>
  <c r="H194" i="1"/>
  <c r="F51" i="2"/>
  <c r="G36" i="14"/>
  <c r="H36" i="14" s="1"/>
  <c r="I36" i="14" s="1"/>
  <c r="E104" i="2"/>
  <c r="C36" i="10"/>
  <c r="L435" i="1"/>
  <c r="G639" i="1" s="1"/>
  <c r="J639" i="1" s="1"/>
  <c r="I662" i="1"/>
  <c r="G104" i="2"/>
  <c r="L339" i="1"/>
  <c r="L353" i="1" s="1"/>
  <c r="H473"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C115" i="2"/>
  <c r="C63" i="2"/>
  <c r="C39" i="10"/>
  <c r="G33" i="13"/>
  <c r="C128" i="2"/>
  <c r="D31" i="13"/>
  <c r="C31" i="13" s="1"/>
  <c r="I462" i="1"/>
  <c r="H643" i="1" s="1"/>
  <c r="J643" i="1" s="1"/>
  <c r="G661" i="1"/>
  <c r="G665" i="1" s="1"/>
  <c r="G673" i="1" s="1"/>
  <c r="C5" i="10" s="1"/>
  <c r="C25" i="13"/>
  <c r="I33" i="13"/>
  <c r="K553" i="1"/>
  <c r="C51" i="2"/>
  <c r="G632" i="1"/>
  <c r="G194" i="1"/>
  <c r="G629" i="1" s="1"/>
  <c r="J629" i="1" s="1"/>
  <c r="G627" i="1"/>
  <c r="J52" i="1"/>
  <c r="H622" i="1" s="1"/>
  <c r="J622" i="1" s="1"/>
  <c r="C38" i="10"/>
  <c r="G628" i="1" l="1"/>
  <c r="F471" i="1"/>
  <c r="H628" i="1"/>
  <c r="G630" i="1"/>
  <c r="H469" i="1"/>
  <c r="G634" i="1"/>
  <c r="G633" i="1"/>
  <c r="F473" i="1"/>
  <c r="H673" i="1"/>
  <c r="C6" i="10" s="1"/>
  <c r="C104" i="2"/>
  <c r="H638" i="1"/>
  <c r="H632" i="1"/>
  <c r="J632" i="1" s="1"/>
  <c r="J471" i="1"/>
  <c r="J477" i="1" s="1"/>
  <c r="H627" i="1" s="1"/>
  <c r="J627" i="1"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J628" i="1" l="1"/>
  <c r="H630" i="1"/>
  <c r="H471" i="1"/>
  <c r="J630" i="1"/>
  <c r="H475" i="1"/>
  <c r="H477" i="1" s="1"/>
  <c r="H625" i="1" s="1"/>
  <c r="J625" i="1" s="1"/>
  <c r="H634" i="1"/>
  <c r="J634" i="1"/>
  <c r="H633" i="1"/>
  <c r="F475" i="1"/>
  <c r="F477" i="1" s="1"/>
  <c r="H623" i="1" s="1"/>
  <c r="J623" i="1" s="1"/>
  <c r="J633" i="1"/>
  <c r="I668" i="1"/>
  <c r="D28" i="10"/>
  <c r="D37" i="10"/>
  <c r="D36" i="10"/>
  <c r="D35" i="10"/>
  <c r="D40" i="10"/>
  <c r="D39" i="10"/>
  <c r="H657" i="1" l="1"/>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<sst xmlns="http://schemas.openxmlformats.org/spreadsheetml/2006/main" count="5572" uniqueCount="1673">
  <si>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</si>
  <si>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</si>
  <si>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</si>
  <si>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</si>
  <si>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</si>
  <si>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</si>
  <si>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</si>
  <si>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</si>
  <si>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</si>
  <si>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</si>
  <si>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</si>
  <si>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</si>
  <si>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</si>
  <si>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</si>
  <si>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</si>
  <si>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</si>
  <si>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</si>
  <si>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</si>
  <si>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</si>
  <si>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</si>
  <si>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</si>
  <si>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</si>
  <si>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</si>
  <si>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</si>
  <si>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</si>
  <si>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</si>
  <si>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</si>
  <si>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</si>
  <si>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</si>
  <si>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</si>
  <si>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</si>
  <si>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</si>
  <si>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</si>
  <si>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</si>
  <si>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</si>
  <si>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</si>
  <si>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</si>
  <si>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</si>
  <si>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</si>
  <si>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</si>
  <si>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</si>
  <si>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</si>
  <si>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</si>
  <si>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</si>
  <si>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</si>
  <si>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</si>
  <si>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</si>
  <si>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</si>
  <si>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</si>
  <si>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</si>
  <si>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</si>
  <si>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</si>
  <si>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</si>
  <si>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</si>
  <si>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</si>
  <si>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</si>
  <si>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</si>
  <si>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</si>
  <si>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</si>
  <si>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</si>
  <si>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</si>
  <si>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</si>
  <si>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</si>
  <si>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</si>
  <si>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</si>
  <si>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</si>
  <si>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</si>
  <si>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</si>
  <si>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</si>
  <si>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</si>
  <si>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</si>
  <si>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</si>
  <si>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</si>
  <si>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</si>
  <si>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</si>
  <si>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</si>
  <si>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</si>
  <si>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</si>
  <si>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</si>
  <si>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</si>
  <si>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</si>
  <si>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</si>
  <si>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</si>
  <si>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</si>
  <si>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</si>
  <si>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</si>
  <si>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</si>
  <si>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</si>
  <si>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</si>
  <si>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</si>
  <si>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</si>
  <si>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</si>
  <si>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</si>
  <si>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</si>
  <si>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</si>
  <si>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</si>
  <si>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</si>
  <si>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</si>
  <si>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</si>
  <si>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</si>
  <si>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</si>
  <si>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</si>
  <si>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</si>
  <si>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</si>
  <si>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</si>
  <si>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</si>
  <si>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</si>
  <si>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</si>
  <si>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</si>
  <si>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</si>
  <si>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</si>
  <si>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</si>
  <si>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</si>
  <si>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</si>
  <si>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</si>
  <si>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</si>
  <si>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</si>
  <si>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</si>
  <si>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</si>
  <si>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</si>
  <si>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</si>
  <si>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</si>
  <si>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</si>
  <si>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</si>
  <si>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</si>
  <si>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</si>
  <si>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</si>
  <si>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</si>
  <si>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</si>
  <si>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</si>
  <si>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</si>
  <si>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</si>
  <si>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</si>
  <si>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</si>
  <si>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</si>
  <si>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</si>
  <si>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</si>
  <si>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</si>
  <si>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</si>
  <si>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</si>
  <si>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</si>
  <si>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</si>
  <si>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</si>
  <si>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</si>
  <si>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</si>
  <si>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</si>
  <si>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</si>
  <si>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</si>
  <si>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</si>
  <si>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</si>
  <si>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</si>
  <si>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</si>
  <si>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</si>
  <si>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</si>
  <si>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</si>
  <si>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</si>
  <si>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</si>
  <si>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</si>
  <si>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</si>
  <si>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</si>
  <si>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</si>
  <si>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</si>
  <si>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</si>
  <si>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</si>
  <si>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</si>
  <si>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</si>
  <si>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</si>
  <si>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</si>
  <si>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</si>
  <si>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</si>
  <si>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</si>
  <si>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</si>
  <si>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</si>
  <si>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</si>
  <si>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</si>
  <si>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</si>
  <si>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</si>
  <si>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</si>
  <si>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</si>
  <si>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</si>
  <si>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</si>
  <si>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</si>
  <si>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</si>
  <si>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</si>
  <si>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</si>
  <si>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</si>
  <si>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</si>
  <si>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</si>
  <si>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</si>
  <si>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</si>
  <si>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</si>
  <si>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</si>
  <si>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</si>
  <si>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</si>
  <si>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</si>
  <si>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</si>
  <si>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</si>
  <si>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</si>
  <si>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</si>
  <si>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</si>
  <si>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</si>
  <si>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</si>
  <si>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</si>
  <si>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</si>
  <si>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</si>
  <si>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</si>
  <si>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</si>
  <si>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</si>
  <si>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</si>
  <si>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</si>
  <si>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</si>
  <si>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</si>
  <si>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</si>
  <si>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</si>
  <si>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</si>
  <si>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</si>
  <si>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</si>
  <si>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</si>
  <si>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</si>
  <si>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</si>
  <si>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</si>
  <si>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</si>
  <si>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</si>
  <si>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</si>
  <si>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</si>
  <si>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</si>
  <si>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</si>
  <si>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</si>
  <si>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</si>
  <si>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</si>
  <si>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</si>
  <si>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</si>
  <si>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</si>
  <si>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</si>
  <si>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</si>
  <si>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</si>
  <si>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</si>
  <si>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</si>
  <si>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</si>
  <si>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</si>
  <si>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</si>
  <si>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</si>
  <si>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</si>
  <si>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</si>
  <si>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</si>
  <si>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</si>
  <si>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</si>
  <si>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</si>
  <si>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</si>
  <si>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</si>
  <si>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</si>
  <si>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</si>
  <si>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</si>
  <si>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</si>
  <si>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</si>
  <si>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</si>
  <si>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</si>
  <si>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</si>
  <si>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</si>
  <si>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</si>
  <si>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</si>
  <si>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</si>
  <si>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</si>
  <si>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</si>
  <si>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</si>
  <si>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</si>
  <si>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</si>
  <si>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</si>
  <si>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</si>
  <si>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</si>
  <si>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</si>
  <si>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</si>
  <si>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</si>
  <si>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</si>
  <si>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</si>
  <si>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</si>
  <si>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</si>
  <si>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</si>
  <si>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</si>
  <si>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</si>
  <si>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</si>
  <si>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</si>
  <si>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</si>
  <si>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</si>
  <si>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</si>
  <si>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</si>
  <si>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</si>
  <si>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</si>
  <si>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</si>
  <si>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</si>
  <si>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</si>
  <si>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</si>
  <si>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</si>
  <si>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</si>
  <si>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</si>
  <si>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</si>
  <si>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</si>
  <si>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</si>
  <si>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</si>
  <si>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</si>
  <si>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</si>
  <si>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</si>
  <si>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</si>
  <si>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</si>
  <si>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</si>
  <si>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</si>
  <si>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</si>
  <si>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</si>
  <si>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</si>
  <si>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</si>
  <si>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</si>
  <si>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</si>
  <si>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</si>
  <si>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</si>
  <si>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</si>
  <si>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</si>
  <si>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</si>
  <si>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</si>
  <si>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</si>
  <si>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</si>
  <si>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</si>
  <si>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</si>
  <si>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</si>
  <si>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</si>
  <si>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</si>
  <si>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</si>
  <si>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</si>
  <si>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</si>
  <si>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</si>
  <si>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</si>
  <si>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</si>
  <si>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</si>
  <si>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</si>
  <si>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</si>
  <si>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</si>
  <si>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</si>
  <si>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</si>
  <si>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</si>
  <si>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</si>
  <si>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</si>
  <si>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</si>
  <si>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</si>
  <si>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</si>
  <si>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</si>
  <si>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</si>
  <si>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</si>
  <si>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</si>
  <si>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</si>
  <si>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</si>
  <si>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</si>
  <si>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</si>
  <si>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</si>
  <si>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</si>
  <si>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</si>
  <si>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</si>
  <si>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</si>
  <si>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</si>
  <si>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</si>
  <si>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</si>
  <si>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</si>
  <si>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</si>
  <si>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</si>
  <si>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</si>
  <si>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</si>
  <si>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</si>
  <si>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</si>
  <si>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</si>
  <si>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</si>
  <si>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</si>
  <si>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</si>
  <si>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</si>
  <si>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</si>
  <si>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</si>
  <si>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</si>
  <si>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</si>
  <si>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</si>
  <si>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</si>
  <si>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</si>
  <si>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</si>
  <si>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</si>
  <si>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</si>
  <si>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</si>
  <si>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</si>
  <si>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</si>
  <si>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</si>
  <si>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</si>
  <si>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</si>
  <si>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</si>
  <si>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</si>
  <si>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</si>
  <si>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</si>
  <si>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</si>
  <si>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</si>
  <si>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</si>
  <si>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</si>
  <si>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</si>
  <si>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</si>
  <si>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</si>
  <si>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</si>
  <si>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</si>
  <si>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</si>
  <si>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</si>
  <si>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</si>
  <si>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</si>
  <si>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</si>
  <si>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</si>
  <si>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</si>
  <si>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</si>
  <si>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</si>
  <si>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</si>
  <si>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</si>
  <si>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</si>
  <si>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</si>
  <si>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</si>
  <si>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</si>
  <si>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</si>
  <si>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</si>
  <si>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</si>
  <si>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</si>
  <si>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</si>
  <si>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</si>
  <si>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</si>
  <si>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</si>
  <si>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</si>
  <si>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</si>
  <si>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</si>
  <si>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</si>
  <si>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</si>
  <si>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</si>
  <si>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</si>
  <si>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</si>
  <si>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</si>
  <si>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</si>
  <si>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</si>
  <si>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</si>
  <si>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</si>
  <si>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</si>
  <si>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</si>
  <si>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</si>
  <si>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</si>
  <si>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</si>
  <si>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</si>
  <si>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</si>
  <si>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</si>
  <si>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</si>
  <si>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</si>
  <si>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</si>
  <si>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</si>
  <si>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</si>
  <si>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</si>
  <si>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</si>
  <si>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</si>
  <si>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</si>
  <si>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</si>
  <si>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</si>
  <si>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</si>
  <si>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</si>
  <si>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</si>
  <si>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</si>
  <si>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</si>
  <si>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</si>
  <si>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</si>
  <si>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</si>
  <si>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</si>
  <si>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</si>
  <si>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</si>
  <si>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</si>
  <si>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</si>
  <si>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</si>
  <si>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</si>
  <si>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</si>
  <si>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</si>
  <si>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</si>
  <si>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</si>
  <si>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</si>
  <si>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</si>
  <si>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</si>
  <si>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</si>
  <si>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</si>
  <si>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</si>
  <si>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</si>
  <si>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</si>
  <si>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</si>
  <si>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</si>
  <si>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</si>
  <si>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</si>
  <si>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</si>
  <si>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</si>
  <si>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</si>
  <si>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</si>
  <si>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</si>
  <si>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</si>
  <si>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</si>
  <si>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</si>
  <si>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</si>
  <si>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</si>
  <si>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</si>
  <si>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</si>
  <si>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</si>
  <si>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</si>
  <si>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</si>
  <si>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</si>
  <si>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</si>
  <si>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</si>
  <si>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</si>
  <si>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</si>
  <si>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</si>
  <si>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</si>
  <si>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</si>
  <si>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</si>
  <si>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</si>
  <si>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</si>
  <si>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</si>
  <si>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</si>
  <si>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</si>
  <si>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</si>
  <si>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</si>
  <si>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</si>
  <si>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</si>
  <si>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</si>
  <si>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</si>
  <si>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</si>
  <si>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</si>
  <si>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</si>
  <si>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</si>
  <si>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</si>
  <si>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</si>
  <si>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</si>
  <si>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</si>
  <si>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</si>
  <si>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</si>
  <si>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</si>
  <si>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</si>
  <si>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</si>
  <si>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</si>
  <si>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</si>
  <si>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</si>
  <si>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</si>
  <si>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</si>
  <si>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</si>
  <si>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</si>
  <si>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</si>
  <si>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</si>
  <si>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</si>
  <si>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</si>
  <si>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</si>
  <si>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</si>
  <si>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</si>
  <si>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</si>
  <si>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</si>
  <si>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</si>
  <si>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</si>
  <si>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</si>
  <si>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</si>
  <si>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</si>
  <si>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</si>
  <si>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</si>
  <si>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</si>
  <si>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</si>
  <si>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</si>
  <si>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</si>
  <si>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</si>
  <si>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</si>
  <si>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</si>
  <si>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</si>
  <si>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</si>
  <si>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</si>
  <si>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</si>
  <si>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</si>
  <si>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</si>
  <si>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</si>
  <si>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</si>
  <si>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</si>
  <si>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</si>
  <si>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</si>
  <si>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</si>
  <si>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</si>
  <si>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</si>
  <si>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</si>
  <si>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</si>
  <si>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</si>
  <si>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</si>
  <si>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</si>
  <si>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</si>
  <si>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</si>
  <si>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</si>
  <si>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</si>
  <si>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</si>
  <si>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</si>
  <si>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</si>
  <si>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</si>
  <si>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</si>
  <si>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</si>
  <si>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</si>
  <si>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</si>
  <si>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</si>
  <si>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</si>
  <si>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</si>
  <si>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</si>
  <si>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</si>
  <si>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</si>
  <si>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</si>
  <si>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</si>
  <si>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</si>
  <si>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</si>
  <si>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</si>
  <si>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</si>
  <si>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</si>
  <si>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</si>
  <si>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</si>
  <si>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</si>
  <si>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</si>
  <si>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</si>
  <si>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</si>
  <si>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</si>
  <si>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</si>
  <si>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</si>
  <si>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</si>
  <si>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</si>
  <si>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</si>
  <si>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</si>
  <si>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</si>
  <si>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</si>
  <si>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</si>
  <si>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</si>
  <si>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</si>
  <si>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</si>
  <si>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</si>
  <si>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</si>
  <si>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</si>
  <si>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</si>
  <si>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</si>
  <si>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</si>
  <si>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</si>
  <si>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</si>
  <si>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</si>
  <si>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</si>
  <si>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</si>
  <si>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</si>
  <si>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</si>
  <si>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</si>
  <si>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</si>
  <si>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</si>
  <si>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</si>
  <si>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</si>
  <si>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</si>
  <si>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</si>
  <si>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</si>
  <si>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</si>
  <si>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</si>
  <si>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</si>
  <si>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</si>
  <si>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</si>
  <si>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</si>
  <si>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</si>
  <si>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</si>
  <si>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</si>
  <si>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</si>
  <si>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</si>
  <si>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</si>
  <si>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</si>
  <si>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</si>
  <si>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</si>
  <si>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</si>
  <si>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</si>
  <si>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</si>
  <si>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</si>
  <si>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</si>
  <si>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</si>
  <si>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</si>
  <si>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</si>
  <si>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</si>
  <si>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</si>
  <si>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</si>
  <si>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</si>
  <si>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</si>
  <si>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</si>
  <si>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</si>
  <si>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</si>
  <si>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</si>
  <si>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</si>
  <si>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</si>
  <si>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</si>
  <si>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</si>
  <si>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</si>
  <si>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</si>
  <si>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</si>
  <si>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</si>
  <si>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</si>
  <si>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</si>
  <si>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</si>
  <si>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</si>
  <si>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</si>
  <si>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</si>
  <si>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</si>
  <si>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</si>
  <si>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</si>
  <si>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</si>
  <si>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</si>
  <si>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</si>
  <si>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</si>
  <si>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</si>
  <si>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</si>
  <si>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</si>
  <si>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</si>
  <si>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</si>
  <si>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</si>
  <si>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</si>
  <si>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</si>
  <si>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</si>
  <si>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</si>
  <si>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</si>
  <si>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</si>
  <si>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</si>
  <si>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</si>
  <si>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</si>
  <si>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</si>
  <si>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</si>
  <si>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</si>
  <si>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</si>
  <si>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</si>
  <si>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</si>
  <si>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</si>
  <si>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</si>
  <si>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</si>
  <si>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</si>
  <si>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</si>
  <si>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</si>
  <si>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</si>
  <si>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</si>
  <si>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</si>
  <si>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</si>
  <si>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</si>
  <si>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</si>
  <si>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</si>
  <si>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</si>
  <si>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</si>
  <si>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</si>
  <si>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</si>
  <si>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</si>
  <si>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</si>
  <si>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</si>
  <si>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</si>
  <si>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</si>
  <si>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</si>
  <si>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</si>
  <si>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</si>
  <si>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</si>
  <si>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</si>
  <si>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</si>
  <si>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</si>
  <si>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</si>
  <si>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</si>
  <si>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</si>
  <si>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</si>
  <si>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</si>
  <si>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</si>
  <si>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</si>
  <si>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</si>
  <si>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</si>
  <si>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</si>
  <si>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</si>
  <si>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</si>
  <si>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</si>
  <si>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</si>
  <si>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</si>
  <si>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</si>
  <si>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</si>
  <si>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</si>
  <si>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</si>
  <si>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</si>
  <si>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</si>
  <si>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</si>
  <si>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</si>
  <si>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</si>
  <si>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</si>
  <si>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</si>
  <si>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</si>
  <si>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</si>
  <si>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</si>
  <si>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</si>
  <si>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</si>
  <si>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</si>
  <si>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</si>
  <si>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</si>
  <si>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</si>
  <si>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</si>
  <si>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</si>
  <si>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</si>
  <si>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</si>
  <si>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</si>
  <si>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</si>
  <si>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</si>
  <si>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</si>
  <si>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</si>
  <si>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</si>
  <si>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</si>
  <si>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</si>
  <si>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</si>
  <si>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</si>
  <si>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</si>
  <si>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</si>
  <si>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</si>
  <si>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</si>
  <si>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</si>
  <si>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</si>
  <si>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</si>
  <si>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</si>
  <si>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</si>
  <si>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</si>
  <si>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</si>
  <si>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</si>
  <si>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</si>
  <si>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</si>
  <si>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</si>
  <si>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</si>
  <si>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</si>
  <si>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</si>
  <si>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</si>
  <si>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</si>
  <si>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</si>
  <si>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</si>
  <si>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</si>
  <si>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</si>
  <si>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</si>
  <si>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</si>
  <si>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</si>
  <si>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</si>
  <si>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</si>
  <si>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</si>
  <si>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</si>
  <si>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</si>
  <si>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</si>
  <si>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</si>
  <si>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</si>
  <si>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</si>
  <si>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</si>
  <si>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</si>
  <si>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</si>
  <si>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</si>
  <si>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</si>
  <si>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</si>
  <si>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</si>
  <si>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</si>
  <si>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</si>
  <si>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</si>
  <si>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</si>
  <si>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</si>
  <si>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</si>
  <si>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</si>
  <si>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</si>
  <si>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</si>
  <si>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</si>
  <si>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</si>
  <si>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</si>
  <si>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</si>
  <si>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</si>
  <si>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</si>
  <si>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</si>
  <si>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</si>
  <si>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</si>
  <si>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</si>
  <si>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</si>
  <si>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</si>
  <si>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</si>
  <si>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</si>
  <si>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</si>
  <si>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</si>
  <si>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</si>
  <si>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</si>
  <si>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</si>
  <si>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</si>
  <si>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</si>
  <si>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</si>
  <si>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</si>
  <si>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</si>
  <si>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</si>
  <si>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</si>
  <si>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</si>
  <si>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</si>
  <si>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</si>
  <si>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</si>
  <si>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</si>
  <si>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</si>
  <si>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</si>
  <si>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</si>
  <si>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</si>
  <si>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</si>
  <si>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</si>
  <si>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</si>
  <si>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</si>
  <si>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</si>
  <si>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</si>
  <si>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</si>
  <si>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</si>
  <si>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</si>
  <si>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</si>
  <si>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</si>
  <si>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</si>
  <si>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</si>
  <si>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</si>
  <si>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</si>
  <si>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</si>
  <si>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</si>
  <si>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</si>
  <si>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</si>
  <si>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</si>
  <si>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</si>
  <si>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</si>
  <si>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</si>
  <si>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</si>
  <si>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</si>
  <si>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</si>
  <si>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</si>
  <si>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</si>
  <si>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</si>
  <si>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</si>
  <si>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</si>
  <si>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</si>
  <si>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</si>
  <si>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</si>
  <si>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</si>
  <si>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</si>
  <si>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</si>
  <si>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</si>
  <si>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</si>
  <si>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</si>
  <si>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</si>
  <si>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</si>
  <si>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</si>
  <si>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</si>
  <si>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</si>
  <si>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</si>
  <si>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</si>
  <si>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</si>
  <si>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</si>
  <si>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</si>
  <si>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</si>
  <si>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</si>
  <si>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</si>
  <si>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</si>
  <si>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</si>
  <si>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</si>
  <si>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</si>
  <si>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</si>
  <si>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</si>
  <si>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</si>
  <si>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</si>
  <si>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</si>
  <si>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</si>
  <si>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</si>
  <si>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</si>
  <si>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</si>
  <si>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</si>
  <si>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</si>
  <si>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</si>
  <si>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</si>
  <si>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</si>
  <si>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</si>
  <si>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</si>
  <si>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</si>
  <si>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</si>
  <si>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</si>
  <si>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</si>
  <si>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</si>
  <si>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</si>
  <si>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</si>
  <si>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</si>
  <si>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</si>
  <si>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</si>
  <si>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</si>
  <si>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</si>
  <si>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</si>
  <si>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</si>
  <si>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</si>
  <si>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</si>
  <si>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</si>
  <si>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</si>
  <si>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</si>
  <si>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</si>
  <si>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</si>
  <si>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</si>
  <si>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</si>
  <si>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</si>
  <si>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</si>
  <si>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</si>
  <si>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</si>
  <si>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</si>
  <si>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</si>
  <si>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</si>
  <si>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</si>
  <si>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</si>
  <si>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</si>
  <si>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</si>
  <si>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</si>
  <si>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</si>
  <si>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</si>
  <si>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</si>
  <si>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</si>
  <si>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</si>
  <si>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</si>
  <si>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</si>
  <si>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</si>
  <si>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</si>
  <si>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</si>
  <si>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</si>
  <si>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</si>
  <si>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</si>
  <si>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</si>
  <si>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</si>
  <si>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</si>
  <si>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</si>
  <si>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</si>
  <si>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</si>
  <si>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</si>
  <si>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</si>
  <si>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</si>
  <si>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</si>
  <si>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</si>
  <si>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</si>
  <si>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</si>
  <si>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</si>
  <si>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</si>
  <si>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</si>
  <si>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</si>
  <si>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</si>
  <si>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</si>
  <si>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</si>
  <si>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</si>
  <si>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</si>
  <si>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</si>
  <si>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</si>
  <si>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</si>
  <si>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</si>
  <si>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</si>
  <si>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</si>
  <si>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</si>
  <si>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</si>
  <si>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</si>
  <si>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</si>
  <si>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</si>
  <si>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</si>
  <si>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</si>
  <si>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</si>
  <si>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</si>
  <si>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</si>
  <si>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</si>
  <si>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</si>
  <si>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</si>
  <si>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</si>
  <si>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</si>
  <si>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</si>
  <si>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</si>
  <si>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</si>
  <si>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</si>
  <si>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</si>
  <si>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</si>
  <si>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</si>
  <si>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</si>
  <si>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</si>
  <si>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</si>
  <si>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</si>
  <si>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</si>
  <si>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</si>
  <si>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</si>
  <si>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</si>
  <si>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</si>
  <si>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</si>
  <si>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</si>
  <si>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</si>
  <si>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</si>
  <si>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</si>
  <si>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</si>
  <si>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</si>
  <si>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</si>
  <si>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</si>
  <si>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</si>
  <si>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</si>
  <si>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</si>
  <si>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</si>
  <si>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</si>
  <si>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</si>
  <si>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</si>
  <si>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</si>
  <si>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</si>
  <si>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</si>
  <si>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</si>
  <si>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</si>
  <si>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</si>
  <si>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</si>
  <si>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</si>
  <si>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</si>
  <si>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</si>
  <si>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</si>
  <si>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</si>
  <si>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</si>
  <si>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</si>
  <si>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</si>
  <si>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</si>
  <si>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</si>
  <si>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</si>
  <si>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</si>
  <si>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</si>
  <si>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</si>
  <si>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</si>
  <si>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</si>
  <si>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</si>
  <si>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</si>
  <si>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</si>
  <si>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</si>
  <si>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</si>
  <si>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</si>
  <si>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</si>
  <si>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</si>
  <si>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</si>
  <si>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</si>
  <si>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</si>
  <si>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</si>
  <si>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</si>
  <si>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</si>
  <si>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</si>
  <si>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</si>
  <si>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</si>
  <si>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</si>
  <si>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</si>
  <si>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</si>
  <si>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</si>
  <si>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</si>
  <si>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</si>
  <si>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</si>
  <si>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</si>
  <si>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</si>
  <si>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</si>
  <si>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</si>
  <si>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</si>
  <si>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</si>
  <si>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</si>
  <si>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</si>
  <si>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</si>
  <si>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</si>
  <si>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</si>
  <si>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</si>
  <si>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</si>
  <si>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</si>
  <si>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</si>
  <si>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</si>
  <si>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</si>
  <si>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</si>
  <si>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</si>
  <si>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</si>
  <si>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</si>
  <si>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</si>
  <si>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</si>
  <si>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</si>
  <si>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</si>
  <si>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</si>
  <si>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</si>
  <si>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</si>
  <si>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</si>
  <si>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</si>
  <si>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</si>
  <si>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</si>
  <si>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</si>
  <si>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</si>
  <si>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</si>
  <si>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</si>
  <si>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</si>
  <si>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</si>
  <si>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</si>
  <si>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</si>
  <si>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</si>
  <si>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</si>
  <si>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</si>
  <si>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</si>
  <si>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</si>
  <si>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</si>
  <si>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</si>
  <si>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</si>
  <si>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</si>
  <si>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</si>
  <si>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</si>
  <si>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</si>
  <si>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</si>
  <si>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</si>
  <si>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</si>
  <si>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</si>
  <si>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</si>
  <si>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</si>
  <si>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</si>
  <si>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</si>
  <si>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</si>
  <si>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</si>
  <si>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</si>
  <si>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</si>
  <si>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</si>
  <si>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</si>
  <si>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</si>
  <si>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</si>
  <si>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</si>
  <si>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</si>
  <si>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</si>
  <si>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</si>
  <si>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</si>
  <si>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</si>
  <si>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</si>
  <si>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</si>
  <si>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</si>
  <si>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</si>
  <si>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</si>
  <si>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</si>
  <si>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</si>
  <si>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</si>
  <si>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</si>
  <si>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</si>
  <si>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</si>
  <si>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</si>
  <si>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</si>
  <si>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</si>
  <si>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</si>
  <si>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</si>
  <si>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</si>
  <si>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</si>
  <si>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</si>
  <si>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</si>
  <si>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</si>
  <si>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</si>
  <si>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</si>
  <si>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</si>
  <si>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</si>
  <si>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</si>
  <si>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</si>
  <si>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</si>
  <si>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</si>
  <si>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</si>
  <si>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</si>
  <si>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</si>
  <si>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</si>
  <si>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</si>
  <si>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</si>
  <si>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</si>
  <si>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</si>
  <si>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</si>
  <si>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</si>
  <si>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</si>
  <si>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</si>
  <si>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</si>
  <si>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</si>
  <si>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</si>
  <si>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</si>
  <si>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</si>
  <si>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</si>
  <si>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</si>
  <si>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</si>
  <si>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</si>
  <si>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</si>
  <si>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</si>
  <si>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</si>
  <si>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</si>
  <si>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</si>
  <si>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</si>
  <si>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</si>
  <si>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</si>
  <si>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</si>
  <si>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</si>
  <si>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</si>
  <si>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</si>
  <si>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</si>
  <si>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</si>
  <si>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</si>
  <si>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</si>
  <si>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</si>
  <si>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</si>
  <si>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</si>
  <si>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</si>
  <si>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</si>
  <si>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</si>
  <si>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</si>
  <si>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</si>
  <si>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</si>
  <si>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</si>
  <si>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</si>
  <si>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</si>
  <si>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</si>
  <si>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</si>
  <si>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</si>
  <si>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</si>
  <si>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</si>
  <si>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</si>
  <si>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</si>
  <si>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</si>
  <si>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</si>
  <si>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</si>
  <si>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</si>
  <si>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</si>
  <si>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</si>
  <si>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</si>
  <si>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</si>
  <si>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</si>
  <si>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</si>
  <si>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</si>
  <si>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</si>
  <si>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</si>
  <si>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</si>
  <si>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</si>
  <si>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</si>
  <si>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</si>
  <si>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</si>
  <si>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</si>
  <si>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</si>
  <si>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</si>
  <si>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</si>
  <si>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</si>
  <si>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</si>
  <si>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</si>
  <si>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</si>
  <si>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</si>
  <si>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</si>
  <si>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</si>
  <si>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</si>
  <si>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</si>
  <si>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</si>
  <si>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</si>
  <si>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</si>
  <si>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</si>
  <si>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</si>
  <si>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</si>
  <si>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</si>
  <si>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</si>
  <si>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</si>
  <si>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</si>
  <si>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</si>
  <si>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</si>
  <si>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</si>
  <si>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</si>
  <si>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</si>
  <si>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</si>
  <si>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</si>
  <si>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</si>
  <si>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</si>
  <si>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</si>
  <si>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</si>
  <si>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</si>
  <si>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</si>
  <si>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</si>
  <si>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</si>
  <si>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</si>
  <si>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</si>
  <si>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</si>
  <si>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</si>
  <si>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</si>
  <si>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</si>
  <si>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</si>
  <si>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</si>
  <si>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</si>
  <si>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</si>
  <si>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</si>
  <si>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</si>
  <si>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</si>
  <si>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</si>
  <si>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</si>
  <si>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</si>
  <si>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</si>
  <si>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</si>
  <si>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</si>
  <si>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</si>
  <si>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</si>
  <si>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</si>
  <si>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</si>
  <si>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</si>
  <si>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</si>
  <si>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</si>
  <si>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</si>
  <si>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</si>
  <si>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</si>
  <si>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</si>
  <si>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</si>
  <si>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</si>
  <si>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</si>
  <si>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</si>
  <si>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</si>
  <si>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</si>
  <si>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</si>
  <si>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</si>
  <si>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</si>
  <si>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</si>
  <si>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</si>
  <si>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</si>
  <si>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</si>
  <si>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</si>
  <si>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</si>
  <si>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</si>
  <si>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</si>
  <si>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</si>
  <si>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</si>
  <si>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</si>
  <si>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</si>
  <si>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</si>
  <si>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</si>
  <si>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</si>
  <si>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</si>
  <si>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</si>
  <si>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</si>
  <si>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</si>
  <si>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</si>
  <si>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</si>
  <si>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</si>
  <si>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</si>
  <si>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</si>
  <si>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</si>
  <si>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</si>
  <si>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</si>
  <si>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</si>
  <si>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</si>
  <si>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</si>
  <si>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</si>
  <si>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</si>
  <si>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</si>
  <si>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</si>
  <si>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</si>
  <si>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</si>
  <si>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</si>
  <si>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</si>
  <si>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</si>
  <si>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</si>
  <si>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</si>
  <si>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</si>
  <si>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</si>
  <si>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</si>
  <si>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</si>
  <si>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</si>
  <si>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</si>
  <si>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</si>
  <si>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</si>
  <si>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</si>
  <si>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</si>
  <si>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</si>
  <si>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</si>
  <si>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</si>
  <si>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</si>
  <si>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</si>
  <si>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</si>
  <si>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</si>
  <si>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</si>
  <si>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</si>
  <si>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</si>
  <si>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</si>
  <si>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</si>
  <si>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</si>
  <si>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</si>
  <si>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</si>
  <si>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</si>
  <si>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</si>
  <si>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</si>
  <si>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</si>
  <si>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</si>
  <si>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</si>
  <si>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</si>
  <si>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</si>
  <si>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</si>
  <si>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</si>
  <si>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</si>
  <si>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</si>
  <si>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</si>
  <si>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</si>
  <si>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</si>
  <si>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</si>
  <si>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</si>
  <si>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</si>
  <si>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</si>
  <si>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</si>
  <si>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</si>
  <si>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</si>
  <si>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</si>
  <si>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</si>
  <si>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</si>
  <si>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</si>
  <si>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</si>
  <si>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</si>
  <si>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</si>
  <si>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</si>
  <si>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</si>
  <si>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</si>
  <si>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</si>
  <si>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</si>
  <si>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</si>
  <si>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</si>
  <si>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</si>
  <si>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</si>
  <si>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</si>
  <si>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</si>
  <si>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</si>
  <si>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</si>
  <si>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</si>
  <si>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</si>
  <si>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</si>
  <si>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</si>
  <si>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</si>
  <si>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</si>
  <si>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</si>
  <si>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</si>
  <si>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</si>
  <si>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</si>
  <si>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</si>
  <si>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</si>
  <si>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</si>
  <si>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</si>
  <si>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</si>
  <si>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</si>
  <si>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</si>
  <si>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</si>
  <si>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</si>
  <si>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</si>
  <si>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</si>
  <si>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</si>
  <si>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</si>
  <si>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</si>
  <si>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</si>
  <si>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</si>
  <si>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</si>
  <si>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</si>
  <si>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</si>
  <si>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</si>
  <si>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</si>
  <si>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</si>
  <si>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</si>
  <si>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</si>
  <si>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</si>
  <si>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</si>
  <si>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</si>
  <si>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</si>
  <si>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</si>
  <si>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</si>
  <si>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</si>
  <si>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</si>
  <si>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</si>
  <si>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</si>
  <si>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</si>
  <si>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</si>
  <si>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</si>
  <si>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</si>
  <si>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</si>
  <si>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</si>
  <si>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</si>
  <si>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</si>
  <si>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</si>
  <si>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</si>
  <si>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</si>
  <si>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</si>
  <si>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</si>
  <si>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</si>
  <si>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</si>
  <si>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</si>
  <si>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</si>
  <si>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</si>
  <si>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</si>
  <si>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</si>
  <si>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</si>
  <si>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</si>
  <si>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</si>
  <si>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</si>
  <si>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</si>
  <si>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</si>
  <si>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</si>
  <si>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</si>
  <si>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</si>
  <si>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</si>
  <si>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</si>
  <si>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</si>
  <si>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</si>
  <si>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</si>
  <si>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</si>
  <si>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</si>
  <si>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</si>
  <si>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</si>
  <si>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</si>
  <si>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</si>
  <si>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</si>
  <si>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</si>
  <si>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</si>
  <si>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</si>
  <si>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</si>
  <si>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</si>
  <si>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</si>
  <si>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</si>
  <si>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</si>
  <si>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</si>
  <si>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</si>
  <si>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</si>
  <si>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</si>
  <si>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</si>
  <si>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</si>
  <si>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</si>
  <si>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</si>
  <si>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</si>
  <si>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</si>
  <si>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</si>
  <si>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</si>
  <si>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</si>
  <si>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</si>
  <si>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</si>
  <si>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</si>
  <si>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</si>
  <si>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</si>
  <si>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</si>
  <si>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</si>
  <si>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</si>
  <si>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</si>
  <si>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</si>
  <si>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</si>
  <si>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</si>
  <si>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</si>
  <si>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</si>
  <si>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</si>
  <si>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</si>
  <si>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</si>
  <si>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</si>
  <si>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</si>
  <si>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</si>
  <si>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</si>
  <si>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</si>
  <si>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</si>
  <si>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</si>
  <si>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</si>
  <si>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</si>
  <si>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</si>
  <si>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</si>
  <si>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</si>
  <si>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</si>
  <si>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</si>
  <si>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</si>
  <si>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</si>
  <si>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</si>
  <si>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</si>
  <si>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</si>
  <si>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</si>
  <si>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</si>
  <si>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</si>
  <si>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</si>
  <si>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</si>
  <si>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</si>
  <si>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</si>
  <si>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</si>
  <si>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</si>
  <si>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</si>
  <si>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</si>
  <si>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</si>
  <si>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</si>
  <si>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</si>
  <si>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</si>
  <si>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</si>
  <si>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</si>
  <si>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</si>
  <si>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</si>
  <si>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</si>
  <si>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</si>
  <si>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</si>
  <si>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</si>
  <si>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</si>
  <si>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</si>
  <si>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</si>
  <si>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</si>
  <si>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</si>
  <si>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</si>
  <si>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</si>
  <si>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</si>
  <si>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</si>
  <si>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</si>
  <si>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</si>
  <si>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</si>
  <si>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</si>
  <si>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</si>
  <si>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</si>
  <si>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Goshen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</si>
</sst>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10" zoomScaleNormal="110" workbookViewId="0">
      <pane xSplit="5" ySplit="3" topLeftCell="F641" activePane="bottomRight" state="frozen"/>
      <selection pane="topRight" activeCell="F1" sqref="F1"/>
      <selection pane="bottomLeft" activeCell="A4" sqref="A4"/>
      <selection pane="bottomRight" activeCell="F678" sqref="F678"/>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204</v>
      </c>
      <c r="C2" s="21">
        <v>203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356589.97-1565.33-1007.57</f>
        <v>354017.06999999995</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f>853623-845213</f>
        <v>8410</v>
      </c>
      <c r="G10" s="18"/>
      <c r="H10" s="18"/>
      <c r="I10" s="18"/>
      <c r="J10" s="67">
        <f>SUM(I441)</f>
        <v>300356.39</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983.54</v>
      </c>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v>983.54</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f>657.35+295.65+612.33+12.97+11.06</f>
        <v>1589.36</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364999.96999999991</v>
      </c>
      <c r="G19" s="41">
        <f>SUM(G9:G18)</f>
        <v>0</v>
      </c>
      <c r="H19" s="41">
        <f>SUM(H9:H18)</f>
        <v>983.54</v>
      </c>
      <c r="I19" s="41">
        <f>SUM(I9:I18)</f>
        <v>0</v>
      </c>
      <c r="J19" s="41">
        <f>SUM(J9:J18)</f>
        <v>300356.39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983.54</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f>59081.94+924.35</f>
        <v>60006.29</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2793.82+1870.22</f>
        <v>4664.04</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64670.33</v>
      </c>
      <c r="G32" s="41">
        <f>SUM(G22:G31)</f>
        <v>0</v>
      </c>
      <c r="H32" s="41">
        <f>SUM(H22:H31)</f>
        <v>983.54</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80000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10000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300356.39</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356589.97-64670.33-80000+8410-10000</f>
        <v>210329.63999999996</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300329.63999999996</v>
      </c>
      <c r="G51" s="41">
        <f>SUM(G35:G50)</f>
        <v>0</v>
      </c>
      <c r="H51" s="41">
        <f>SUM(H35:H50)</f>
        <v>0</v>
      </c>
      <c r="I51" s="41">
        <f>SUM(I35:I50)</f>
        <v>0</v>
      </c>
      <c r="J51" s="41">
        <f>SUM(J35:J50)</f>
        <v>300356.39</v>
      </c>
      <c r="K51" s="45" t="s">
        <v>288</v>
      </c>
      <c r="L51" s="45" t="s">
        <v>288</v>
      </c>
      <c r="N51" s="264"/>
    </row>
    <row r="52" spans="1:14" s="3" customFormat="1" ht="12.2" customHeight="1" thickTop="1" x14ac:dyDescent="0.15">
      <c r="A52" s="38" t="s">
        <v>455</v>
      </c>
      <c r="B52" s="39" t="s">
        <v>289</v>
      </c>
      <c r="C52" s="6">
        <v>37</v>
      </c>
      <c r="D52" s="39" t="s">
        <v>653</v>
      </c>
      <c r="E52" s="39"/>
      <c r="F52" s="41">
        <f>F51+F32</f>
        <v>364999.97</v>
      </c>
      <c r="G52" s="41">
        <f>G51+G32</f>
        <v>0</v>
      </c>
      <c r="H52" s="41">
        <f>H51+H32</f>
        <v>983.54</v>
      </c>
      <c r="I52" s="41">
        <f>I51+I32</f>
        <v>0</v>
      </c>
      <c r="J52" s="41">
        <f>J51+J32</f>
        <v>300356.39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853623</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853623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370.25</v>
      </c>
      <c r="G96" s="18"/>
      <c r="H96" s="18"/>
      <c r="I96" s="18"/>
      <c r="J96" s="18">
        <v>308.58</v>
      </c>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370.25</v>
      </c>
      <c r="G111" s="41">
        <f>SUM(G96:G110)</f>
        <v>0</v>
      </c>
      <c r="H111" s="41">
        <f>SUM(H96:H110)</f>
        <v>0</v>
      </c>
      <c r="I111" s="41">
        <f>SUM(I96:I110)</f>
        <v>0</v>
      </c>
      <c r="J111" s="41">
        <f>SUM(J96:J110)</f>
        <v>308.58</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853993.25</v>
      </c>
      <c r="G112" s="41">
        <f>G60+G111</f>
        <v>0</v>
      </c>
      <c r="H112" s="41">
        <f>H60+H79+H94+H111</f>
        <v>0</v>
      </c>
      <c r="I112" s="41">
        <f>I60+I111</f>
        <v>0</v>
      </c>
      <c r="J112" s="41">
        <f>J60+J111</f>
        <v>308.58</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512277.85</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141964</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85.76</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654327.61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654327.61</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f>7883.53-30.97</f>
        <v>7852.5599999999995</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6658.72</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f>17400</f>
        <v>17400</v>
      </c>
      <c r="G161" s="18"/>
      <c r="H161" s="18"/>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f>76.6+50.08</f>
        <v>126.67999999999999</v>
      </c>
      <c r="G162" s="24" t="s">
        <v>288</v>
      </c>
      <c r="H162" s="18"/>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24185.4</v>
      </c>
      <c r="G163" s="41">
        <f>SUM(G150:G162)</f>
        <v>0</v>
      </c>
      <c r="H163" s="41">
        <f>SUM(H150:H162)</f>
        <v>7852.5599999999995</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24185.4</v>
      </c>
      <c r="G170" s="41">
        <f>G147+G163+SUM(G164:G169)</f>
        <v>0</v>
      </c>
      <c r="H170" s="41">
        <f>H147+H163+SUM(H164:H169)</f>
        <v>7852.5599999999995</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v>40000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40000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40000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1532506.2599999998</v>
      </c>
      <c r="G194" s="47">
        <f>G112+G140+G170+G193</f>
        <v>0</v>
      </c>
      <c r="H194" s="47">
        <f>H112+H140+H170+H193</f>
        <v>7852.5599999999995</v>
      </c>
      <c r="I194" s="47">
        <f>I112+I140+I170+I193</f>
        <v>0</v>
      </c>
      <c r="J194" s="47">
        <f>J112+J140+J193</f>
        <v>40308.58</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c r="G198" s="18"/>
      <c r="H198" s="18">
        <f>653436.27+149835.24</f>
        <v>803271.51</v>
      </c>
      <c r="I198" s="18"/>
      <c r="J198" s="18"/>
      <c r="K198" s="18"/>
      <c r="L198" s="19">
        <f>SUM(F198:K198)</f>
        <v>803271.51</v>
      </c>
      <c r="M198" s="8"/>
      <c r="N198" s="266"/>
    </row>
    <row r="199" spans="1:14" s="3" customFormat="1" ht="12.2" customHeight="1" x14ac:dyDescent="0.15">
      <c r="A199" s="1" t="s">
        <v>439</v>
      </c>
      <c r="B199" s="2" t="s">
        <v>341</v>
      </c>
      <c r="C199" s="2" t="s">
        <v>291</v>
      </c>
      <c r="D199" s="2" t="s">
        <v>431</v>
      </c>
      <c r="E199" s="6">
        <v>1200</v>
      </c>
      <c r="F199" s="18"/>
      <c r="G199" s="18"/>
      <c r="H199" s="18">
        <v>78448.38</v>
      </c>
      <c r="I199" s="18">
        <v>291.32</v>
      </c>
      <c r="J199" s="18"/>
      <c r="K199" s="18"/>
      <c r="L199" s="19">
        <f>SUM(F199:K199)</f>
        <v>78739.700000000012</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c r="G203" s="18"/>
      <c r="H203" s="18">
        <f>1082.9+3359.99+1000.25+3388.13</f>
        <v>8831.27</v>
      </c>
      <c r="I203" s="18">
        <f>26.14+11658</f>
        <v>11684.14</v>
      </c>
      <c r="J203" s="18"/>
      <c r="K203" s="18"/>
      <c r="L203" s="19">
        <f t="shared" ref="L203:L209" si="0">SUM(F203:K203)</f>
        <v>20515.41</v>
      </c>
      <c r="M203" s="8"/>
      <c r="N203" s="266"/>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6"/>
    </row>
    <row r="205" spans="1:14" s="3" customFormat="1" ht="12.2" customHeight="1" x14ac:dyDescent="0.15">
      <c r="A205" s="1" t="s">
        <v>444</v>
      </c>
      <c r="B205" s="2" t="s">
        <v>341</v>
      </c>
      <c r="C205" s="2" t="s">
        <v>296</v>
      </c>
      <c r="D205" s="2" t="s">
        <v>431</v>
      </c>
      <c r="E205" s="6">
        <v>2300</v>
      </c>
      <c r="F205" s="18">
        <v>56268.28</v>
      </c>
      <c r="G205" s="18">
        <v>4869.51</v>
      </c>
      <c r="H205" s="18">
        <v>12854.16</v>
      </c>
      <c r="I205" s="18">
        <v>796.91</v>
      </c>
      <c r="J205" s="18"/>
      <c r="K205" s="18">
        <v>1948.85</v>
      </c>
      <c r="L205" s="19">
        <f t="shared" si="0"/>
        <v>76737.710000000006</v>
      </c>
      <c r="M205" s="8"/>
      <c r="N205" s="266"/>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6"/>
    </row>
    <row r="207" spans="1:14" s="3" customFormat="1" ht="12.2" customHeight="1" x14ac:dyDescent="0.15">
      <c r="A207" s="1" t="s">
        <v>446</v>
      </c>
      <c r="B207" s="2" t="s">
        <v>341</v>
      </c>
      <c r="C207" s="2" t="s">
        <v>298</v>
      </c>
      <c r="D207" s="2" t="s">
        <v>431</v>
      </c>
      <c r="E207" s="6">
        <v>2500</v>
      </c>
      <c r="F207" s="18">
        <v>6061.83</v>
      </c>
      <c r="G207" s="18">
        <v>463.73</v>
      </c>
      <c r="H207" s="18"/>
      <c r="I207" s="18"/>
      <c r="J207" s="18"/>
      <c r="K207" s="18"/>
      <c r="L207" s="19">
        <f t="shared" si="0"/>
        <v>6525.5599999999995</v>
      </c>
      <c r="M207" s="8"/>
      <c r="N207" s="266"/>
    </row>
    <row r="208" spans="1:14" s="3" customFormat="1" ht="12.2" customHeight="1" x14ac:dyDescent="0.15">
      <c r="A208" s="1" t="s">
        <v>447</v>
      </c>
      <c r="B208" s="2" t="s">
        <v>341</v>
      </c>
      <c r="C208" s="2" t="s">
        <v>299</v>
      </c>
      <c r="D208" s="2" t="s">
        <v>431</v>
      </c>
      <c r="E208" s="6">
        <v>2600</v>
      </c>
      <c r="F208" s="18"/>
      <c r="G208" s="18"/>
      <c r="H208" s="18"/>
      <c r="I208" s="18">
        <v>51.32</v>
      </c>
      <c r="J208" s="18"/>
      <c r="K208" s="18"/>
      <c r="L208" s="19">
        <f t="shared" si="0"/>
        <v>51.32</v>
      </c>
      <c r="M208" s="8"/>
      <c r="N208" s="266"/>
    </row>
    <row r="209" spans="1:14" s="3" customFormat="1" ht="12.2" customHeight="1" x14ac:dyDescent="0.15">
      <c r="A209" s="1" t="s">
        <v>448</v>
      </c>
      <c r="B209" s="2" t="s">
        <v>341</v>
      </c>
      <c r="C209" s="2" t="s">
        <v>300</v>
      </c>
      <c r="D209" s="2" t="s">
        <v>431</v>
      </c>
      <c r="E209" s="6">
        <v>2700</v>
      </c>
      <c r="F209" s="18"/>
      <c r="G209" s="18"/>
      <c r="H209" s="18">
        <v>45521.17</v>
      </c>
      <c r="I209" s="18"/>
      <c r="J209" s="18"/>
      <c r="K209" s="18"/>
      <c r="L209" s="19">
        <f t="shared" si="0"/>
        <v>45521.17</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62330.11</v>
      </c>
      <c r="G212" s="41">
        <f t="shared" si="1"/>
        <v>5333.24</v>
      </c>
      <c r="H212" s="41">
        <f t="shared" si="1"/>
        <v>948926.49000000011</v>
      </c>
      <c r="I212" s="41">
        <f t="shared" si="1"/>
        <v>12823.689999999999</v>
      </c>
      <c r="J212" s="41">
        <f t="shared" si="1"/>
        <v>0</v>
      </c>
      <c r="K212" s="41">
        <f t="shared" si="1"/>
        <v>1948.85</v>
      </c>
      <c r="L212" s="41">
        <f t="shared" si="1"/>
        <v>1031362.38</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396746.75</v>
      </c>
      <c r="I234" s="18">
        <f>12.88+5742</f>
        <v>5754.88</v>
      </c>
      <c r="J234" s="18"/>
      <c r="K234" s="18"/>
      <c r="L234" s="19">
        <f>SUM(F234:K234)</f>
        <v>402501.63</v>
      </c>
      <c r="M234" s="8"/>
      <c r="N234" s="266"/>
    </row>
    <row r="235" spans="1:14" s="3" customFormat="1" ht="12.2" customHeight="1" x14ac:dyDescent="0.15">
      <c r="A235" s="1" t="s">
        <v>439</v>
      </c>
      <c r="B235" s="2" t="s">
        <v>350</v>
      </c>
      <c r="C235" s="2" t="s">
        <v>291</v>
      </c>
      <c r="D235" s="2" t="s">
        <v>431</v>
      </c>
      <c r="E235" s="6">
        <v>1200</v>
      </c>
      <c r="F235" s="18"/>
      <c r="G235" s="18"/>
      <c r="H235" s="18">
        <v>63365.99</v>
      </c>
      <c r="I235" s="18">
        <v>143.47999999999999</v>
      </c>
      <c r="J235" s="18"/>
      <c r="K235" s="18"/>
      <c r="L235" s="19">
        <f>SUM(F235:K235)</f>
        <v>63509.47</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v>6151.38</v>
      </c>
      <c r="I239" s="18"/>
      <c r="J239" s="18"/>
      <c r="K239" s="18"/>
      <c r="L239" s="19">
        <f t="shared" ref="L239:L245" si="4">SUM(F239:K239)</f>
        <v>6151.38</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v>27714.23</v>
      </c>
      <c r="G241" s="18">
        <v>2398.41</v>
      </c>
      <c r="H241" s="18">
        <v>6331.15</v>
      </c>
      <c r="I241" s="18">
        <v>392.51</v>
      </c>
      <c r="J241" s="18"/>
      <c r="K241" s="18">
        <v>959.88</v>
      </c>
      <c r="L241" s="19">
        <f t="shared" si="4"/>
        <v>37796.18</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v>2985.68</v>
      </c>
      <c r="G243" s="18">
        <v>228.41</v>
      </c>
      <c r="H243" s="18"/>
      <c r="I243" s="18"/>
      <c r="J243" s="18"/>
      <c r="K243" s="18"/>
      <c r="L243" s="19">
        <f t="shared" si="4"/>
        <v>3214.0899999999997</v>
      </c>
      <c r="M243" s="8"/>
      <c r="N243" s="266"/>
    </row>
    <row r="244" spans="1:14" s="3" customFormat="1" ht="12.2" customHeight="1" x14ac:dyDescent="0.15">
      <c r="A244" s="1" t="s">
        <v>447</v>
      </c>
      <c r="B244" s="2" t="s">
        <v>350</v>
      </c>
      <c r="C244" s="2" t="s">
        <v>299</v>
      </c>
      <c r="D244" s="2" t="s">
        <v>431</v>
      </c>
      <c r="E244" s="6">
        <v>2600</v>
      </c>
      <c r="F244" s="18"/>
      <c r="G244" s="18"/>
      <c r="H244" s="18"/>
      <c r="I244" s="18">
        <v>25.28</v>
      </c>
      <c r="J244" s="18"/>
      <c r="K244" s="18"/>
      <c r="L244" s="19">
        <f t="shared" si="4"/>
        <v>25.28</v>
      </c>
      <c r="M244" s="8"/>
      <c r="N244" s="266"/>
    </row>
    <row r="245" spans="1:14" s="3" customFormat="1" ht="12.2" customHeight="1" x14ac:dyDescent="0.15">
      <c r="A245" s="1" t="s">
        <v>448</v>
      </c>
      <c r="B245" s="2" t="s">
        <v>350</v>
      </c>
      <c r="C245" s="2" t="s">
        <v>300</v>
      </c>
      <c r="D245" s="2" t="s">
        <v>431</v>
      </c>
      <c r="E245" s="6">
        <v>2700</v>
      </c>
      <c r="F245" s="18"/>
      <c r="G245" s="18"/>
      <c r="H245" s="18">
        <v>22420.87</v>
      </c>
      <c r="I245" s="18"/>
      <c r="J245" s="18"/>
      <c r="K245" s="18"/>
      <c r="L245" s="19">
        <f t="shared" si="4"/>
        <v>22420.87</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30699.91</v>
      </c>
      <c r="G248" s="41">
        <f t="shared" si="5"/>
        <v>2626.8199999999997</v>
      </c>
      <c r="H248" s="41">
        <f t="shared" si="5"/>
        <v>495016.14</v>
      </c>
      <c r="I248" s="41">
        <f t="shared" si="5"/>
        <v>6316.15</v>
      </c>
      <c r="J248" s="41">
        <f t="shared" si="5"/>
        <v>0</v>
      </c>
      <c r="K248" s="41">
        <f t="shared" si="5"/>
        <v>959.88</v>
      </c>
      <c r="L248" s="41">
        <f t="shared" si="5"/>
        <v>535618.9</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93030.02</v>
      </c>
      <c r="G258" s="41">
        <f t="shared" si="8"/>
        <v>7960.0599999999995</v>
      </c>
      <c r="H258" s="41">
        <f t="shared" si="8"/>
        <v>1443942.6300000001</v>
      </c>
      <c r="I258" s="41">
        <f t="shared" si="8"/>
        <v>19139.839999999997</v>
      </c>
      <c r="J258" s="41">
        <f t="shared" si="8"/>
        <v>0</v>
      </c>
      <c r="K258" s="41">
        <f t="shared" si="8"/>
        <v>2908.73</v>
      </c>
      <c r="L258" s="41">
        <f t="shared" si="8"/>
        <v>1566981.28</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40000</v>
      </c>
      <c r="L267" s="19">
        <f t="shared" si="9"/>
        <v>40000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40000</v>
      </c>
      <c r="L271" s="41">
        <f t="shared" si="9"/>
        <v>40000</v>
      </c>
      <c r="M271" s="8"/>
      <c r="N271" s="266"/>
    </row>
    <row r="272" spans="1:14" s="34" customFormat="1" ht="12.2" customHeight="1" thickTop="1" x14ac:dyDescent="0.2">
      <c r="A272" s="43" t="s">
        <v>464</v>
      </c>
      <c r="B272" s="40">
        <v>10</v>
      </c>
      <c r="C272" s="40">
        <v>18</v>
      </c>
      <c r="D272" s="39" t="s">
        <v>431</v>
      </c>
      <c r="E272" s="40"/>
      <c r="F272" s="42">
        <f t="shared" ref="F272:L272" si="11">F258+F271</f>
        <v>93030.02</v>
      </c>
      <c r="G272" s="42">
        <f t="shared" si="11"/>
        <v>7960.0599999999995</v>
      </c>
      <c r="H272" s="42">
        <f t="shared" si="11"/>
        <v>1443942.6300000001</v>
      </c>
      <c r="I272" s="42">
        <f t="shared" si="11"/>
        <v>19139.839999999997</v>
      </c>
      <c r="J272" s="42">
        <f t="shared" si="11"/>
        <v>0</v>
      </c>
      <c r="K272" s="42">
        <f t="shared" si="11"/>
        <v>42908.73</v>
      </c>
      <c r="L272" s="42">
        <f t="shared" si="11"/>
        <v>1606981.28</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f>120.47</f>
        <v>120.47</v>
      </c>
      <c r="J277" s="18"/>
      <c r="K277" s="18"/>
      <c r="L277" s="19">
        <f>SUM(F277:K277)</f>
        <v>120.47</v>
      </c>
      <c r="M277" s="8"/>
      <c r="N277" s="266"/>
    </row>
    <row r="278" spans="1:14" s="3" customFormat="1" ht="12.2" customHeight="1" x14ac:dyDescent="0.15">
      <c r="A278" s="1" t="s">
        <v>439</v>
      </c>
      <c r="B278" s="2" t="s">
        <v>357</v>
      </c>
      <c r="C278" s="2" t="s">
        <v>291</v>
      </c>
      <c r="D278" s="2" t="s">
        <v>431</v>
      </c>
      <c r="E278" s="6">
        <v>1200</v>
      </c>
      <c r="F278" s="18"/>
      <c r="G278" s="18"/>
      <c r="H278" s="18">
        <f>727+1431.37+516.97+300+51.75</f>
        <v>3027.09</v>
      </c>
      <c r="I278" s="18"/>
      <c r="J278" s="18"/>
      <c r="K278" s="18"/>
      <c r="L278" s="19">
        <f>SUM(F278:K278)</f>
        <v>3027.09</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v>225</v>
      </c>
      <c r="I283" s="18"/>
      <c r="J283" s="18"/>
      <c r="K283" s="18"/>
      <c r="L283" s="19">
        <f t="shared" si="12"/>
        <v>225</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3252.09</v>
      </c>
      <c r="I291" s="42">
        <f t="shared" si="13"/>
        <v>120.47</v>
      </c>
      <c r="J291" s="42">
        <f t="shared" si="13"/>
        <v>0</v>
      </c>
      <c r="K291" s="42">
        <f t="shared" si="13"/>
        <v>0</v>
      </c>
      <c r="L291" s="41">
        <f t="shared" si="13"/>
        <v>3372.56</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v>4480</v>
      </c>
      <c r="I316" s="18"/>
      <c r="J316" s="18"/>
      <c r="K316" s="18"/>
      <c r="L316" s="19">
        <f>SUM(F316:K316)</f>
        <v>4480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4480</v>
      </c>
      <c r="I329" s="42">
        <f t="shared" si="17"/>
        <v>0</v>
      </c>
      <c r="J329" s="42">
        <f t="shared" si="17"/>
        <v>0</v>
      </c>
      <c r="K329" s="42">
        <f t="shared" si="17"/>
        <v>0</v>
      </c>
      <c r="L329" s="41">
        <f t="shared" si="17"/>
        <v>4480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0</v>
      </c>
      <c r="G339" s="41">
        <f t="shared" si="20"/>
        <v>0</v>
      </c>
      <c r="H339" s="41">
        <f t="shared" si="20"/>
        <v>7732.09</v>
      </c>
      <c r="I339" s="41">
        <f t="shared" si="20"/>
        <v>120.47</v>
      </c>
      <c r="J339" s="41">
        <f t="shared" si="20"/>
        <v>0</v>
      </c>
      <c r="K339" s="41">
        <f t="shared" si="20"/>
        <v>0</v>
      </c>
      <c r="L339" s="41">
        <f t="shared" si="20"/>
        <v>7852.5599999999995</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0</v>
      </c>
      <c r="G353" s="41">
        <f>G339</f>
        <v>0</v>
      </c>
      <c r="H353" s="41">
        <f>H339</f>
        <v>7732.09</v>
      </c>
      <c r="I353" s="41">
        <f>I339</f>
        <v>120.47</v>
      </c>
      <c r="J353" s="41">
        <f>J339</f>
        <v>0</v>
      </c>
      <c r="K353" s="47">
        <f>K339+K352</f>
        <v>0</v>
      </c>
      <c r="L353" s="41">
        <f>L339+L352</f>
        <v>7852.5599999999995</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v>40000</v>
      </c>
      <c r="H398" s="18">
        <f>543.18-357.69</f>
        <v>185.48999999999995</v>
      </c>
      <c r="I398" s="18"/>
      <c r="J398" s="24" t="s">
        <v>288</v>
      </c>
      <c r="K398" s="24" t="s">
        <v>288</v>
      </c>
      <c r="L398" s="56">
        <f t="shared" si="26"/>
        <v>40185.49</v>
      </c>
      <c r="M398" s="8"/>
      <c r="N398" s="266"/>
    </row>
    <row r="399" spans="1:14" s="3" customFormat="1" ht="12.2" customHeight="1" x14ac:dyDescent="0.15">
      <c r="A399" s="79" t="s">
        <v>558</v>
      </c>
      <c r="B399" s="2" t="s">
        <v>381</v>
      </c>
      <c r="C399" s="6">
        <v>11</v>
      </c>
      <c r="D399" s="2" t="s">
        <v>432</v>
      </c>
      <c r="E399" s="6"/>
      <c r="F399" s="18"/>
      <c r="G399" s="18"/>
      <c r="H399" s="18">
        <f>813.21-690.12</f>
        <v>123.09000000000003</v>
      </c>
      <c r="I399" s="18"/>
      <c r="J399" s="24" t="s">
        <v>288</v>
      </c>
      <c r="K399" s="24" t="s">
        <v>288</v>
      </c>
      <c r="L399" s="56">
        <f t="shared" si="26"/>
        <v>123.09000000000003</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40000</v>
      </c>
      <c r="H402" s="47">
        <f>SUM(H396:H401)</f>
        <v>308.58</v>
      </c>
      <c r="I402" s="47">
        <f>SUM(I396:I401)</f>
        <v>0</v>
      </c>
      <c r="J402" s="45" t="s">
        <v>288</v>
      </c>
      <c r="K402" s="45" t="s">
        <v>288</v>
      </c>
      <c r="L402" s="47">
        <f>SUM(L396:L401)</f>
        <v>40308.579999999994</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40000</v>
      </c>
      <c r="H409" s="47">
        <f>H394+H402+H408</f>
        <v>308.58</v>
      </c>
      <c r="I409" s="47">
        <f>I394+I402+I408</f>
        <v>0</v>
      </c>
      <c r="J409" s="24" t="s">
        <v>288</v>
      </c>
      <c r="K409" s="24" t="s">
        <v>288</v>
      </c>
      <c r="L409" s="47">
        <f>L394+L402+L408</f>
        <v>40308.579999999994</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f>105813.21+194543.18</f>
        <v>300356.39</v>
      </c>
      <c r="H441" s="18"/>
      <c r="I441" s="56">
        <f t="shared" si="33"/>
        <v>300356.39</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300356.39</v>
      </c>
      <c r="H447" s="13">
        <f>SUM(H440:H446)</f>
        <v>0</v>
      </c>
      <c r="I447" s="13">
        <f>SUM(I440:I446)</f>
        <v>300356.39</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300356.39</v>
      </c>
      <c r="H460" s="18"/>
      <c r="I460" s="56">
        <f t="shared" si="34"/>
        <v>300356.39</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300356.39</v>
      </c>
      <c r="H461" s="83">
        <f>SUM(H455:H460)</f>
        <v>0</v>
      </c>
      <c r="I461" s="83">
        <f>SUM(I455:I460)</f>
        <v>300356.39</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300356.39</v>
      </c>
      <c r="H462" s="42">
        <f>H453+H461</f>
        <v>0</v>
      </c>
      <c r="I462" s="42">
        <f>I453+I461</f>
        <v>300356.39</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f>291919.64+81247.02+1638</f>
        <v>374804.66000000003</v>
      </c>
      <c r="G466" s="18"/>
      <c r="H466" s="18"/>
      <c r="I466" s="18"/>
      <c r="J466" s="18">
        <f>105690.12+154357.69</f>
        <v>260047.81</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F194</f>
        <v>1532506.2599999998</v>
      </c>
      <c r="G469" s="18"/>
      <c r="H469" s="18">
        <f>H194</f>
        <v>7852.5599999999995</v>
      </c>
      <c r="I469" s="18"/>
      <c r="J469" s="18">
        <f>J194</f>
        <v>40308.58</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1532506.2599999998</v>
      </c>
      <c r="G471" s="53">
        <f>SUM(G469:G470)</f>
        <v>0</v>
      </c>
      <c r="H471" s="53">
        <f>SUM(H469:H470)</f>
        <v>7852.5599999999995</v>
      </c>
      <c r="I471" s="53">
        <f>SUM(I469:I470)</f>
        <v>0</v>
      </c>
      <c r="J471" s="53">
        <f>SUM(J469:J470)</f>
        <v>40308.58</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L272</f>
        <v>1606981.28</v>
      </c>
      <c r="G473" s="18"/>
      <c r="H473" s="18">
        <f>L353</f>
        <v>7852.5599999999995</v>
      </c>
      <c r="I473" s="18"/>
      <c r="J473" s="18">
        <f>L435</f>
        <v>0</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1606981.28</v>
      </c>
      <c r="G475" s="53">
        <f>SUM(G473:G474)</f>
        <v>0</v>
      </c>
      <c r="H475" s="53">
        <f>SUM(H473:H474)</f>
        <v>7852.5599999999995</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300329.6399999999</v>
      </c>
      <c r="G477" s="53">
        <f>(G466+G471)- G475</f>
        <v>0</v>
      </c>
      <c r="H477" s="53">
        <f>(H466+H471)- H475</f>
        <v>0</v>
      </c>
      <c r="I477" s="53">
        <f>(I466+I471)- I475</f>
        <v>0</v>
      </c>
      <c r="J477" s="53">
        <f>(J466+J471)- J475</f>
        <v>300356.39</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2"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c r="G522" s="18"/>
      <c r="H522" s="18">
        <v>81700.47</v>
      </c>
      <c r="I522" s="18">
        <v>291.32</v>
      </c>
      <c r="J522" s="18"/>
      <c r="K522" s="18"/>
      <c r="L522" s="88">
        <f>SUM(F522:K522)</f>
        <v>81991.790000000008</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v>67845.990000000005</v>
      </c>
      <c r="I524" s="18">
        <v>143.47999999999999</v>
      </c>
      <c r="J524" s="18"/>
      <c r="K524" s="18"/>
      <c r="L524" s="88">
        <f>SUM(F524:K524)</f>
        <v>67989.47</v>
      </c>
      <c r="N524" s="265"/>
    </row>
    <row r="525" spans="1:14" s="52" customFormat="1" ht="12.2" customHeight="1" thickTop="1" x14ac:dyDescent="0.2">
      <c r="A525" s="139" t="s">
        <v>63</v>
      </c>
      <c r="B525" s="107">
        <v>21</v>
      </c>
      <c r="C525" s="195">
        <v>4</v>
      </c>
      <c r="D525" s="196" t="s">
        <v>432</v>
      </c>
      <c r="E525" s="195"/>
      <c r="F525" s="108">
        <f>SUM(F522:F524)</f>
        <v>0</v>
      </c>
      <c r="G525" s="108">
        <f t="shared" ref="G525:L525" si="36">SUM(G522:G524)</f>
        <v>0</v>
      </c>
      <c r="H525" s="108">
        <f t="shared" si="36"/>
        <v>149546.46000000002</v>
      </c>
      <c r="I525" s="108">
        <f t="shared" si="36"/>
        <v>434.79999999999995</v>
      </c>
      <c r="J525" s="108">
        <f t="shared" si="36"/>
        <v>0</v>
      </c>
      <c r="K525" s="108">
        <f t="shared" si="36"/>
        <v>0</v>
      </c>
      <c r="L525" s="89">
        <f t="shared" si="36"/>
        <v>149981.26</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v>8831.27</v>
      </c>
      <c r="I527" s="18"/>
      <c r="J527" s="18"/>
      <c r="K527" s="18"/>
      <c r="L527" s="88">
        <f>SUM(F527:K527)</f>
        <v>8831.27</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v>6151.38</v>
      </c>
      <c r="I529" s="18"/>
      <c r="J529" s="18"/>
      <c r="K529" s="18"/>
      <c r="L529" s="88">
        <f>SUM(F529:K529)</f>
        <v>6151.38</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14982.650000000001</v>
      </c>
      <c r="I530" s="89">
        <f t="shared" si="37"/>
        <v>0</v>
      </c>
      <c r="J530" s="89">
        <f t="shared" si="37"/>
        <v>0</v>
      </c>
      <c r="K530" s="89">
        <f t="shared" si="37"/>
        <v>0</v>
      </c>
      <c r="L530" s="89">
        <f t="shared" si="37"/>
        <v>14982.650000000001</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17190.52</v>
      </c>
      <c r="G532" s="18">
        <v>1659.72</v>
      </c>
      <c r="H532" s="18"/>
      <c r="I532" s="18"/>
      <c r="J532" s="18"/>
      <c r="K532" s="18"/>
      <c r="L532" s="88">
        <f>SUM(F532:K532)</f>
        <v>18850.240000000002</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v>8466.98</v>
      </c>
      <c r="G534" s="18">
        <v>817.48</v>
      </c>
      <c r="H534" s="18"/>
      <c r="I534" s="18"/>
      <c r="J534" s="18"/>
      <c r="K534" s="18"/>
      <c r="L534" s="88">
        <f>SUM(F534:K534)</f>
        <v>9284.4599999999991</v>
      </c>
      <c r="M534" s="8"/>
      <c r="N534" s="266"/>
    </row>
    <row r="535" spans="1:14" s="3" customFormat="1" ht="12.2" customHeight="1" thickTop="1" x14ac:dyDescent="0.15">
      <c r="A535" s="139" t="s">
        <v>67</v>
      </c>
      <c r="B535" s="107">
        <v>21</v>
      </c>
      <c r="C535" s="107">
        <v>12</v>
      </c>
      <c r="D535" s="158" t="s">
        <v>432</v>
      </c>
      <c r="E535" s="107"/>
      <c r="F535" s="89">
        <f>SUM(F532:F534)</f>
        <v>25657.5</v>
      </c>
      <c r="G535" s="89">
        <f t="shared" ref="G535:L535" si="38">SUM(G532:G534)</f>
        <v>2477.1999999999998</v>
      </c>
      <c r="H535" s="89">
        <f t="shared" si="38"/>
        <v>0</v>
      </c>
      <c r="I535" s="89">
        <f t="shared" si="38"/>
        <v>0</v>
      </c>
      <c r="J535" s="89">
        <f t="shared" si="38"/>
        <v>0</v>
      </c>
      <c r="K535" s="89">
        <f t="shared" si="38"/>
        <v>0</v>
      </c>
      <c r="L535" s="89">
        <f t="shared" si="38"/>
        <v>28134.7</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17363.79</v>
      </c>
      <c r="I542" s="18"/>
      <c r="J542" s="18"/>
      <c r="K542" s="18"/>
      <c r="L542" s="88">
        <f>SUM(F542:K542)</f>
        <v>17363.79</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v>8552.31</v>
      </c>
      <c r="I544" s="18"/>
      <c r="J544" s="18"/>
      <c r="K544" s="18"/>
      <c r="L544" s="88">
        <f>SUM(F544:K544)</f>
        <v>8552.31</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25916.1</v>
      </c>
      <c r="I545" s="193">
        <f t="shared" si="40"/>
        <v>0</v>
      </c>
      <c r="J545" s="193">
        <f t="shared" si="40"/>
        <v>0</v>
      </c>
      <c r="K545" s="193">
        <f t="shared" si="40"/>
        <v>0</v>
      </c>
      <c r="L545" s="193">
        <f t="shared" si="40"/>
        <v>25916.1</v>
      </c>
      <c r="M545" s="8"/>
      <c r="N545" s="266"/>
    </row>
    <row r="546" spans="1:14" s="3" customFormat="1" ht="12.2" customHeight="1" thickTop="1" x14ac:dyDescent="0.15">
      <c r="A546" s="98" t="s">
        <v>72</v>
      </c>
      <c r="B546" s="107">
        <v>21</v>
      </c>
      <c r="C546" s="107">
        <v>21</v>
      </c>
      <c r="D546" s="158" t="s">
        <v>432</v>
      </c>
      <c r="E546" s="107"/>
      <c r="F546" s="89">
        <f>F525+F530+F535+F540+F545</f>
        <v>25657.5</v>
      </c>
      <c r="G546" s="89">
        <f t="shared" ref="G546:L546" si="41">G525+G530+G535+G540+G545</f>
        <v>2477.1999999999998</v>
      </c>
      <c r="H546" s="89">
        <f t="shared" si="41"/>
        <v>190445.21000000002</v>
      </c>
      <c r="I546" s="89">
        <f t="shared" si="41"/>
        <v>434.79999999999995</v>
      </c>
      <c r="J546" s="89">
        <f t="shared" si="41"/>
        <v>0</v>
      </c>
      <c r="K546" s="89">
        <f t="shared" si="41"/>
        <v>0</v>
      </c>
      <c r="L546" s="89">
        <f t="shared" si="41"/>
        <v>219014.71000000002</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81991.790000000008</v>
      </c>
      <c r="G550" s="87">
        <f>L527</f>
        <v>8831.27</v>
      </c>
      <c r="H550" s="87">
        <f>L532</f>
        <v>18850.240000000002</v>
      </c>
      <c r="I550" s="87">
        <f>L537</f>
        <v>0</v>
      </c>
      <c r="J550" s="87">
        <f>L542</f>
        <v>17363.79</v>
      </c>
      <c r="K550" s="87">
        <f>SUM(F550:J550)</f>
        <v>127037.09000000003</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67989.47</v>
      </c>
      <c r="G552" s="87">
        <f>L529</f>
        <v>6151.38</v>
      </c>
      <c r="H552" s="87">
        <f>L534</f>
        <v>9284.4599999999991</v>
      </c>
      <c r="I552" s="87">
        <f>L539</f>
        <v>0</v>
      </c>
      <c r="J552" s="87">
        <f>L544</f>
        <v>8552.31</v>
      </c>
      <c r="K552" s="87">
        <f>SUM(F552:J552)</f>
        <v>91977.62</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149981.26</v>
      </c>
      <c r="G553" s="89">
        <f t="shared" si="42"/>
        <v>14982.650000000001</v>
      </c>
      <c r="H553" s="89">
        <f t="shared" si="42"/>
        <v>28134.7</v>
      </c>
      <c r="I553" s="89">
        <f t="shared" si="42"/>
        <v>0</v>
      </c>
      <c r="J553" s="89">
        <f t="shared" si="42"/>
        <v>25916.1</v>
      </c>
      <c r="K553" s="89">
        <f t="shared" si="42"/>
        <v>219014.71000000002</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803271.51</v>
      </c>
      <c r="G576" s="18"/>
      <c r="H576" s="18">
        <v>396746.75</v>
      </c>
      <c r="I576" s="87">
        <f>SUM(F576:H576)</f>
        <v>1200018.26</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77761.34</v>
      </c>
      <c r="G580" s="18"/>
      <c r="H580" s="18">
        <v>23721.11</v>
      </c>
      <c r="I580" s="87">
        <f t="shared" si="47"/>
        <v>101482.45</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v>9114</v>
      </c>
      <c r="I583" s="87">
        <f t="shared" si="47"/>
        <v>9114</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28157.38</v>
      </c>
      <c r="I592" s="18"/>
      <c r="J592" s="18">
        <v>13868.56</v>
      </c>
      <c r="K592" s="104">
        <f t="shared" ref="K592:K598" si="48">SUM(H592:J592)</f>
        <v>42025.94</v>
      </c>
      <c r="L592" s="24" t="s">
        <v>288</v>
      </c>
      <c r="M592" s="8"/>
      <c r="N592" s="266"/>
    </row>
    <row r="593" spans="1:14" s="3" customFormat="1" ht="12.2" customHeight="1" x14ac:dyDescent="0.15">
      <c r="A593" s="3" t="s">
        <v>638</v>
      </c>
      <c r="B593" s="75">
        <v>23</v>
      </c>
      <c r="C593" s="75">
        <v>2</v>
      </c>
      <c r="D593" s="2" t="s">
        <v>432</v>
      </c>
      <c r="E593" s="75"/>
      <c r="F593" s="102">
        <v>2722</v>
      </c>
      <c r="G593" s="103" t="s">
        <v>97</v>
      </c>
      <c r="H593" s="18">
        <v>17363.79</v>
      </c>
      <c r="I593" s="18"/>
      <c r="J593" s="18">
        <v>8552.31</v>
      </c>
      <c r="K593" s="104">
        <f t="shared" si="48"/>
        <v>25916.1</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45521.17</v>
      </c>
      <c r="I599" s="108">
        <f>SUM(I592:I598)</f>
        <v>0</v>
      </c>
      <c r="J599" s="108">
        <f>SUM(J592:J598)</f>
        <v>22420.87</v>
      </c>
      <c r="K599" s="108">
        <f>SUM(K592:K598)</f>
        <v>67942.040000000008</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c r="I605" s="18"/>
      <c r="J605" s="18"/>
      <c r="K605" s="104">
        <f>SUM(H605:J605)</f>
        <v>0</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0</v>
      </c>
      <c r="K606" s="108">
        <f>SUM(K603:K605)</f>
        <v>0</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v>521.70000000000005</v>
      </c>
      <c r="I612" s="18"/>
      <c r="J612" s="18"/>
      <c r="K612" s="18"/>
      <c r="L612" s="88">
        <f>SUM(F612:K612)</f>
        <v>521.70000000000005</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521.70000000000005</v>
      </c>
      <c r="I615" s="108">
        <f t="shared" si="49"/>
        <v>0</v>
      </c>
      <c r="J615" s="108">
        <f t="shared" si="49"/>
        <v>0</v>
      </c>
      <c r="K615" s="108">
        <f t="shared" si="49"/>
        <v>0</v>
      </c>
      <c r="L615" s="89">
        <f t="shared" si="49"/>
        <v>521.70000000000005</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364999.96999999991</v>
      </c>
      <c r="H618" s="109">
        <f>SUM(F52)</f>
        <v>364999.97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983.54</v>
      </c>
      <c r="H620" s="109">
        <f>SUM(H52)</f>
        <v>983.54</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300356.39</v>
      </c>
      <c r="H622" s="109">
        <f>SUM(J52)</f>
        <v>300356.39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300329.63999999996</v>
      </c>
      <c r="H623" s="109">
        <f>F477</f>
        <v>300329.6399999999</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300356.39</v>
      </c>
      <c r="H627" s="109">
        <f>J477</f>
        <v>300356.39</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1532506.2599999998</v>
      </c>
      <c r="H628" s="104">
        <f>SUM(F469)</f>
        <v>1532506.2599999998</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7852.5599999999995</v>
      </c>
      <c r="H630" s="104">
        <f>SUM(H469)</f>
        <v>7852.5599999999995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40308.58</v>
      </c>
      <c r="H632" s="104">
        <f>SUM(J469)</f>
        <v>40308.58</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1606981.28</v>
      </c>
      <c r="H633" s="104">
        <f>SUM(F473)</f>
        <v>1606981.28</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7852.5599999999995</v>
      </c>
      <c r="H634" s="104">
        <f>SUM(H473)</f>
        <v>7852.5599999999995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40308.579999999994</v>
      </c>
      <c r="H638" s="164">
        <f>SUM(J469)</f>
        <v>40308.58</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300356.39</v>
      </c>
      <c r="H641" s="104">
        <f>SUM(G462)</f>
        <v>300356.39</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300356.39</v>
      </c>
      <c r="H643" s="104">
        <f>SUM(I462)</f>
        <v>300356.39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308.58</v>
      </c>
      <c r="H645" s="104">
        <f>H409</f>
        <v>308.58</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40000</v>
      </c>
      <c r="H646" s="104">
        <f>G409</f>
        <v>40000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40308.58</v>
      </c>
      <c r="H647" s="104">
        <f>L409</f>
        <v>40308.579999999994</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67942.040000000008</v>
      </c>
      <c r="H648" s="104">
        <f>L209+L227+L245</f>
        <v>67942.039999999994</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0</v>
      </c>
      <c r="H649" s="104">
        <f>(J258+J339)-(J256+J337)</f>
        <v>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45521.17</v>
      </c>
      <c r="H650" s="104">
        <f>H599</f>
        <v>45521.17</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22420.87</v>
      </c>
      <c r="H652" s="104">
        <f>J599</f>
        <v>22420.87</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40000</v>
      </c>
      <c r="H656" s="104">
        <f>K267+K348</f>
        <v>40000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4" t="s">
        <v>1624</v>
      </c>
      <c r="F660" s="14" t="s">
        <v>286</v>
      </c>
      <c r="G660" s="13"/>
      <c r="H660" s="13"/>
      <c r="I660" s="13"/>
      <c r="J660" s="13"/>
      <c r="K660" s="13"/>
      <c r="L660" s="13"/>
      <c r="M660" s="9"/>
    </row>
    <row r="661" spans="1:13" s="3" customFormat="1" ht="12.2" customHeight="1" x14ac:dyDescent="0.15">
      <c r="A661" s="1" t="s">
        <v>126</v>
      </c>
      <c r="F661" s="19">
        <f>(L212+L291+L359)</f>
        <v>1034734.9400000001</v>
      </c>
      <c r="G661" s="19">
        <f>(L230+L310+L360)</f>
        <v>0</v>
      </c>
      <c r="H661" s="19">
        <f>(L248+L329+L361)</f>
        <v>540098.9</v>
      </c>
      <c r="I661" s="19">
        <f>SUM(F661:H661)</f>
        <v>1574833.84</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45521.17</v>
      </c>
      <c r="G663" s="19">
        <f>(L227+L307)-(J227+J307)</f>
        <v>0</v>
      </c>
      <c r="H663" s="19">
        <f>(L245+L326)-(J245+J326)</f>
        <v>22420.87</v>
      </c>
      <c r="I663" s="19">
        <f>SUM(F663:H663)</f>
        <v>67942.039999999994</v>
      </c>
      <c r="J663"/>
      <c r="K663" s="13"/>
      <c r="L663" s="13"/>
      <c r="M663" s="9"/>
    </row>
    <row r="664" spans="1:13" s="3" customFormat="1" ht="12.2" customHeight="1" x14ac:dyDescent="0.15">
      <c r="A664" s="198" t="s">
        <v>129</v>
      </c>
      <c r="B664" s="169"/>
      <c r="C664" s="169"/>
      <c r="D664" s="169"/>
      <c r="E664" s="169"/>
      <c r="F664" s="199">
        <f>SUM(F576:F588)+SUM(H603:H605)+SUM(L612)</f>
        <v>881554.54999999993</v>
      </c>
      <c r="G664" s="199">
        <f>SUM(G576:G588)+SUM(I603:I605)+L613</f>
        <v>0</v>
      </c>
      <c r="H664" s="199">
        <f>SUM(H576:H588)+SUM(J603:J605)+L614</f>
        <v>429581.86</v>
      </c>
      <c r="I664" s="19">
        <f>SUM(F664:H664)</f>
        <v>1311136.4099999999</v>
      </c>
      <c r="J664" s="13"/>
      <c r="K664" s="13"/>
      <c r="L664" s="13"/>
      <c r="M664" s="9"/>
    </row>
    <row r="665" spans="1:13" s="3" customFormat="1" ht="12.2" customHeight="1" x14ac:dyDescent="0.15">
      <c r="A665" s="1" t="s">
        <v>130</v>
      </c>
      <c r="F665" s="19">
        <f>F661-SUM(F662:F664)</f>
        <v>107659.22000000009</v>
      </c>
      <c r="G665" s="19">
        <f>G661-SUM(G662:G664)</f>
        <v>0</v>
      </c>
      <c r="H665" s="19">
        <f>H661-SUM(H662:H664)</f>
        <v>88096.170000000042</v>
      </c>
      <c r="I665" s="19">
        <f>I661-SUM(I662:I664)</f>
        <v>195755.39000000013</v>
      </c>
      <c r="J665" s="13"/>
      <c r="K665" s="13"/>
      <c r="L665" s="13"/>
      <c r="M665" s="8"/>
    </row>
    <row r="666" spans="1:13" s="3" customFormat="1" ht="12.2" customHeight="1" x14ac:dyDescent="0.2">
      <c r="A666" s="1" t="s">
        <v>131</v>
      </c>
      <c r="F666" s="246"/>
      <c r="G666" s="247"/>
      <c r="H666" s="247"/>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v>-107659.22</v>
      </c>
      <c r="G670" s="18"/>
      <c r="H670" s="18">
        <v>-88096.17</v>
      </c>
      <c r="I670" s="19">
        <f>SUM(F670:H670)</f>
        <v>-195755.39</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7" zoomScaleNormal="100" workbookViewId="0">
      <selection activeCell="E24" sqref="E24"/>
    </sheetView>
  </sheetViews>
  <sheetFormatPr defaultRowHeight="15" x14ac:dyDescent="0.25"/>
  <cols>
    <col min="1" max="2" width="9.33203125" style="342"/>
    <col min="3" max="3" width="154.5" style="342" customWidth="1"/>
    <col min="4" max="4" width="9.33203125" style="342"/>
    <col min="5" max="5" width="14.1640625" style="342" customWidth="1"/>
    <col min="6" max="7" width="9.33203125" style="342"/>
    <col min="8" max="8" width="23.33203125" style="342" customWidth="1"/>
    <col min="9" max="9" width="14.33203125" style="342" customWidth="1"/>
    <col min="10" max="16384" width="9.33203125" style="342"/>
  </cols>
  <sheetData>
    <row r="2" spans="2:6" x14ac:dyDescent="0.25">
      <c r="C2" s="361" t="s">
        <v>1669</v>
      </c>
      <c r="D2" s="361"/>
      <c r="E2" s="361"/>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'DOE25'!F162+'DOE25'!H162</f>
        <v>126.67999999999999</v>
      </c>
      <c r="F7" s="348"/>
    </row>
    <row r="8" spans="2:6" x14ac:dyDescent="0.25">
      <c r="B8" s="348"/>
      <c r="C8" s="348"/>
      <c r="D8" s="348"/>
      <c r="E8" s="348"/>
      <c r="F8" s="348"/>
    </row>
    <row r="9" spans="2:6" x14ac:dyDescent="0.25">
      <c r="B9" s="348"/>
      <c r="C9" s="348" t="s">
        <v>1650</v>
      </c>
      <c r="D9" s="348" t="s">
        <v>1651</v>
      </c>
      <c r="E9" s="343"/>
      <c r="F9" s="348"/>
    </row>
    <row r="10" spans="2:6" x14ac:dyDescent="0.25">
      <c r="B10" s="348"/>
      <c r="C10" s="348"/>
      <c r="D10" s="348"/>
      <c r="E10" s="348"/>
      <c r="F10" s="348"/>
    </row>
    <row r="11" spans="2:6" x14ac:dyDescent="0.25">
      <c r="B11" s="348"/>
      <c r="C11" s="348" t="s">
        <v>1652</v>
      </c>
      <c r="D11" s="348" t="s">
        <v>1653</v>
      </c>
      <c r="E11" s="343"/>
      <c r="F11" s="348"/>
    </row>
    <row r="12" spans="2:6" x14ac:dyDescent="0.25">
      <c r="B12" s="348"/>
      <c r="C12" s="348"/>
      <c r="D12" s="348"/>
      <c r="E12" s="348"/>
      <c r="F12" s="348"/>
    </row>
    <row r="13" spans="2:6" x14ac:dyDescent="0.25">
      <c r="B13" s="348"/>
      <c r="C13" s="348" t="s">
        <v>1654</v>
      </c>
      <c r="D13" s="348" t="s">
        <v>1655</v>
      </c>
      <c r="E13" s="343"/>
      <c r="F13" s="348"/>
    </row>
    <row r="14" spans="2:6" x14ac:dyDescent="0.25">
      <c r="B14" s="348"/>
      <c r="C14" s="348"/>
      <c r="D14" s="348"/>
      <c r="E14" s="348"/>
      <c r="F14" s="348"/>
    </row>
    <row r="15" spans="2:6" x14ac:dyDescent="0.25">
      <c r="B15" s="348"/>
      <c r="C15" s="348" t="s">
        <v>1656</v>
      </c>
      <c r="D15" s="348" t="s">
        <v>1657</v>
      </c>
      <c r="E15" s="343"/>
      <c r="F15" s="348"/>
    </row>
    <row r="16" spans="2:6" x14ac:dyDescent="0.25">
      <c r="B16" s="348"/>
      <c r="C16" s="348"/>
      <c r="D16" s="348"/>
      <c r="E16" s="348"/>
      <c r="F16" s="348"/>
    </row>
    <row r="17" spans="2:8" x14ac:dyDescent="0.25">
      <c r="B17" s="348"/>
      <c r="C17" s="348" t="s">
        <v>1658</v>
      </c>
      <c r="D17" s="349">
        <v>21.018999999999998</v>
      </c>
      <c r="E17" s="343">
        <v>17400</v>
      </c>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43">
        <f>126.68+E24+E26</f>
        <v>17526.68</v>
      </c>
      <c r="F22" s="348"/>
    </row>
    <row r="23" spans="2:8" x14ac:dyDescent="0.25">
      <c r="B23" s="348"/>
      <c r="C23" s="348"/>
      <c r="D23" s="348"/>
      <c r="E23" s="348"/>
      <c r="F23" s="348"/>
    </row>
    <row r="24" spans="2:8" ht="26.25" customHeight="1" x14ac:dyDescent="0.25">
      <c r="B24" s="348"/>
      <c r="C24" s="350" t="s">
        <v>1661</v>
      </c>
      <c r="D24" s="348"/>
      <c r="E24" s="343">
        <f>14.99+14.99+14.99+14.99+1484+2295</f>
        <v>3838.96</v>
      </c>
      <c r="F24" s="348"/>
    </row>
    <row r="25" spans="2:8" ht="18" x14ac:dyDescent="0.25">
      <c r="B25" s="348"/>
      <c r="C25" s="351"/>
      <c r="D25" s="348"/>
      <c r="E25" s="348"/>
      <c r="F25" s="348"/>
    </row>
    <row r="26" spans="2:8" ht="27.75" customHeight="1" x14ac:dyDescent="0.25">
      <c r="B26" s="348"/>
      <c r="C26" s="350" t="s">
        <v>1662</v>
      </c>
      <c r="D26" s="348"/>
      <c r="E26" s="343">
        <f>13546.05+14.99</f>
        <v>13561.039999999999</v>
      </c>
      <c r="F26" s="348"/>
    </row>
    <row r="27" spans="2:8" x14ac:dyDescent="0.25">
      <c r="B27" s="348"/>
      <c r="C27" s="350"/>
      <c r="D27" s="348"/>
      <c r="E27" s="348"/>
      <c r="F27" s="348"/>
    </row>
    <row r="28" spans="2:8" ht="15.75" customHeight="1" x14ac:dyDescent="0.25">
      <c r="B28" s="348"/>
      <c r="C28" s="350" t="s">
        <v>1663</v>
      </c>
      <c r="D28" s="348"/>
      <c r="E28" s="344"/>
      <c r="F28" s="348"/>
    </row>
    <row r="29" spans="2:8" x14ac:dyDescent="0.25">
      <c r="B29" s="348"/>
      <c r="C29" s="348"/>
      <c r="D29" s="348"/>
      <c r="E29" s="348"/>
      <c r="F29" s="348"/>
    </row>
    <row r="30" spans="2:8" ht="16.5" customHeight="1" x14ac:dyDescent="0.25">
      <c r="B30" s="348"/>
      <c r="C30" s="350" t="s">
        <v>1664</v>
      </c>
      <c r="D30" s="348"/>
      <c r="E30" s="343"/>
      <c r="F30" s="348"/>
    </row>
    <row r="31" spans="2:8" x14ac:dyDescent="0.25">
      <c r="B31" s="348"/>
      <c r="C31" s="348"/>
      <c r="D31" s="348"/>
      <c r="E31" s="348"/>
      <c r="F31" s="348"/>
      <c r="H31" s="360" t="str">
        <f>IF(SUM(E7:E17)=(SUM(E22:E30)),"","Revenues and Expenditures do not match!!. Please correct.")</f>
        <v>Revenues and Expenditures do not match!!. Please correct.</v>
      </c>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3" t="s">
        <v>1589</v>
      </c>
      <c r="B3" s="324"/>
      <c r="C3" s="322"/>
      <c r="D3" s="322"/>
      <c r="E3" s="322"/>
      <c r="F3" s="322"/>
      <c r="G3" s="322"/>
      <c r="H3" s="322"/>
      <c r="I3" t="s">
        <v>1621</v>
      </c>
    </row>
    <row r="4" spans="1:9" x14ac:dyDescent="0.2">
      <c r="I4" t="s">
        <v>1622</v>
      </c>
    </row>
    <row r="5" spans="1:9" ht="15.75" x14ac:dyDescent="0.25">
      <c r="A5" s="318" t="s">
        <v>908</v>
      </c>
      <c r="B5" s="363" t="str">
        <f>'DOE25'!A2</f>
        <v>Goshen School District</v>
      </c>
      <c r="C5" s="364"/>
      <c r="D5" s="364"/>
      <c r="E5" s="364"/>
      <c r="F5" s="364"/>
    </row>
    <row r="8" spans="1:9" ht="18" x14ac:dyDescent="0.25">
      <c r="A8" s="319" t="s">
        <v>1576</v>
      </c>
      <c r="F8" s="326" t="s">
        <v>1594</v>
      </c>
    </row>
    <row r="9" spans="1:9" ht="15" x14ac:dyDescent="0.2">
      <c r="A9" s="317" t="s">
        <v>1577</v>
      </c>
      <c r="B9" s="320">
        <f>'DOE25'!G97</f>
        <v>0</v>
      </c>
      <c r="F9" s="317" t="s">
        <v>1590</v>
      </c>
    </row>
    <row r="10" spans="1:9" ht="15" x14ac:dyDescent="0.2">
      <c r="A10" s="317" t="s">
        <v>1578</v>
      </c>
      <c r="B10" s="320">
        <f>'DOE25'!G112-'DOE25'!G97</f>
        <v>0</v>
      </c>
      <c r="F10" s="317" t="s">
        <v>1591</v>
      </c>
    </row>
    <row r="11" spans="1:9" ht="15" x14ac:dyDescent="0.2">
      <c r="A11" s="317" t="s">
        <v>1579</v>
      </c>
      <c r="B11" s="320">
        <f>'DOE25'!G140</f>
        <v>0</v>
      </c>
      <c r="F11" s="317" t="s">
        <v>1592</v>
      </c>
    </row>
    <row r="12" spans="1:9" ht="15" x14ac:dyDescent="0.2">
      <c r="A12" s="317" t="s">
        <v>1580</v>
      </c>
      <c r="B12" s="320">
        <f>'DOE25'!G170</f>
        <v>0</v>
      </c>
      <c r="F12" s="317" t="s">
        <v>1593</v>
      </c>
    </row>
    <row r="13" spans="1:9" ht="15" x14ac:dyDescent="0.2">
      <c r="A13" s="317" t="s">
        <v>1581</v>
      </c>
      <c r="B13" s="320">
        <f>'DOE25'!G193-'DOE25'!G180</f>
        <v>0</v>
      </c>
      <c r="F13" s="317" t="s">
        <v>1603</v>
      </c>
    </row>
    <row r="14" spans="1:9" ht="18" x14ac:dyDescent="0.25">
      <c r="A14" s="319" t="s">
        <v>732</v>
      </c>
      <c r="B14" s="321">
        <f>SUM(B9:B13)</f>
        <v>0</v>
      </c>
    </row>
    <row r="16" spans="1:9" ht="18" x14ac:dyDescent="0.25">
      <c r="A16" s="319" t="s">
        <v>786</v>
      </c>
      <c r="F16" s="326" t="s">
        <v>1595</v>
      </c>
    </row>
    <row r="17" spans="1:6" ht="15" x14ac:dyDescent="0.2">
      <c r="A17" s="317" t="s">
        <v>1582</v>
      </c>
      <c r="B17" s="320">
        <f>'DOE25'!L363-'DOE25'!L362</f>
        <v>0</v>
      </c>
      <c r="F17" s="317" t="s">
        <v>1596</v>
      </c>
    </row>
    <row r="18" spans="1:6" ht="15" x14ac:dyDescent="0.2">
      <c r="A18" s="317" t="s">
        <v>1583</v>
      </c>
      <c r="B18" s="330"/>
      <c r="F18" s="326" t="s">
        <v>1620</v>
      </c>
    </row>
    <row r="19" spans="1:6" ht="18" x14ac:dyDescent="0.25">
      <c r="A19" s="319" t="s">
        <v>725</v>
      </c>
      <c r="B19" s="321">
        <f>SUM(B17:B18)</f>
        <v>0</v>
      </c>
    </row>
    <row r="21" spans="1:6" ht="18.75" thickBot="1" x14ac:dyDescent="0.3">
      <c r="A21" s="319" t="s">
        <v>1584</v>
      </c>
    </row>
    <row r="22" spans="1:6" ht="18.75" thickTop="1" x14ac:dyDescent="0.25">
      <c r="A22" s="319" t="s">
        <v>1585</v>
      </c>
      <c r="B22" s="325">
        <f>B14-B19</f>
        <v>0</v>
      </c>
      <c r="F22" s="317" t="s">
        <v>1597</v>
      </c>
    </row>
    <row r="26" spans="1:6" ht="18" x14ac:dyDescent="0.25">
      <c r="A26" s="319" t="s">
        <v>186</v>
      </c>
    </row>
    <row r="27" spans="1:6" ht="15" x14ac:dyDescent="0.2">
      <c r="A27" s="317" t="s">
        <v>1586</v>
      </c>
      <c r="B27" s="320">
        <f>'DOE25'!G180</f>
        <v>0</v>
      </c>
      <c r="F27" s="317" t="s">
        <v>1598</v>
      </c>
    </row>
    <row r="28" spans="1:6" ht="15" x14ac:dyDescent="0.2">
      <c r="A28" s="317" t="s">
        <v>1588</v>
      </c>
      <c r="B28" s="320">
        <f>'DOE25'!L362</f>
        <v>0</v>
      </c>
      <c r="F28" s="317" t="s">
        <v>1599</v>
      </c>
    </row>
    <row r="31" spans="1:6" ht="15" x14ac:dyDescent="0.2">
      <c r="A31" s="317" t="s">
        <v>1628</v>
      </c>
      <c r="B31" s="320">
        <f>'DOE25'!G466</f>
        <v>0</v>
      </c>
      <c r="F31" s="317" t="s">
        <v>1600</v>
      </c>
    </row>
    <row r="33" spans="1:6" ht="15" x14ac:dyDescent="0.2">
      <c r="A33" s="317" t="s">
        <v>1629</v>
      </c>
      <c r="B33" s="320">
        <f>'DOE25'!G477</f>
        <v>0</v>
      </c>
      <c r="F33" s="317" t="s">
        <v>1601</v>
      </c>
    </row>
    <row r="36" spans="1:6" ht="15" x14ac:dyDescent="0.2">
      <c r="A36" s="317" t="s">
        <v>1587</v>
      </c>
      <c r="B36" s="331"/>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5" workbookViewId="0">
      <selection activeCell="B12" sqref="B1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Goshen School District</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0</v>
      </c>
      <c r="C9" s="229">
        <f>'DOE25'!G198+'DOE25'!G216+'DOE25'!G234+'DOE25'!G277+'DOE25'!G296+'DOE25'!G315</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0</v>
      </c>
      <c r="C18" s="229">
        <f>'DOE25'!G199+'DOE25'!G217+'DOE25'!G235+'DOE25'!G278+'DOE25'!G297+'DOE25'!G316</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62" sqref="D6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60" t="str">
        <f>'DOE25'!A2</f>
        <v>Goshen School District</v>
      </c>
      <c r="C2" s="277"/>
      <c r="D2" s="181" t="s">
        <v>787</v>
      </c>
      <c r="E2" s="181" t="s">
        <v>789</v>
      </c>
      <c r="F2" s="368" t="s">
        <v>891</v>
      </c>
      <c r="G2" s="369"/>
      <c r="H2" s="369"/>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1348022.31</v>
      </c>
      <c r="D5" s="20">
        <f>SUM('DOE25'!L198:L201)+SUM('DOE25'!L216:L219)+SUM('DOE25'!L234:L237)-F5-G5-H5</f>
        <v>1348022.31</v>
      </c>
      <c r="E5" s="243"/>
      <c r="F5" s="244"/>
      <c r="G5" s="53">
        <f>SUM('DOE25'!J198:J201)+SUM('DOE25'!J216:J219)+SUM('DOE25'!J234:J237)</f>
        <v>0</v>
      </c>
      <c r="H5" s="53">
        <f>SUM('DOE25'!K198:K201)+SUM('DOE25'!K216:K219)+SUM('DOE25'!K234:K237)</f>
        <v>0</v>
      </c>
      <c r="I5" s="256"/>
    </row>
    <row r="6" spans="1:9" x14ac:dyDescent="0.2">
      <c r="A6" s="32">
        <v>2100</v>
      </c>
      <c r="B6" t="s">
        <v>796</v>
      </c>
      <c r="C6" s="275">
        <f t="shared" si="0"/>
        <v>26666.79</v>
      </c>
      <c r="D6" s="20">
        <f>'DOE25'!L203+'DOE25'!L221+'DOE25'!L239-F6-G6-H6</f>
        <v>26666.79</v>
      </c>
      <c r="E6" s="243"/>
      <c r="F6" s="244"/>
      <c r="G6" s="53">
        <f>'DOE25'!J203+'DOE25'!J221+'DOE25'!J239</f>
        <v>0</v>
      </c>
      <c r="H6" s="53">
        <f>'DOE25'!K203+'DOE25'!K221+'DOE25'!K239</f>
        <v>0</v>
      </c>
      <c r="I6" s="256"/>
    </row>
    <row r="7" spans="1:9" x14ac:dyDescent="0.2">
      <c r="A7" s="32">
        <v>2200</v>
      </c>
      <c r="B7" t="s">
        <v>821</v>
      </c>
      <c r="C7" s="275">
        <f t="shared" si="0"/>
        <v>0</v>
      </c>
      <c r="D7" s="20">
        <f>'DOE25'!L204+'DOE25'!L222+'DOE25'!L240-F7-G7-H7</f>
        <v>0</v>
      </c>
      <c r="E7" s="243"/>
      <c r="F7" s="244"/>
      <c r="G7" s="53">
        <f>'DOE25'!J204+'DOE25'!J222+'DOE25'!J240</f>
        <v>0</v>
      </c>
      <c r="H7" s="53">
        <f>'DOE25'!K204+'DOE25'!K222+'DOE25'!K240</f>
        <v>0</v>
      </c>
      <c r="I7" s="256"/>
    </row>
    <row r="8" spans="1:9" x14ac:dyDescent="0.2">
      <c r="A8" s="32">
        <v>2300</v>
      </c>
      <c r="B8" t="s">
        <v>797</v>
      </c>
      <c r="C8" s="275">
        <f t="shared" si="0"/>
        <v>40697.110000000022</v>
      </c>
      <c r="D8" s="243"/>
      <c r="E8" s="20">
        <f>'DOE25'!L205+'DOE25'!L223+'DOE25'!L241-F8-G8-H8-D9-D11</f>
        <v>37788.380000000019</v>
      </c>
      <c r="F8" s="244"/>
      <c r="G8" s="53">
        <f>'DOE25'!J205+'DOE25'!J223+'DOE25'!J241</f>
        <v>0</v>
      </c>
      <c r="H8" s="53">
        <f>'DOE25'!K205+'DOE25'!K223+'DOE25'!K241</f>
        <v>2908.73</v>
      </c>
      <c r="I8" s="256"/>
    </row>
    <row r="9" spans="1:9" ht="14.25" x14ac:dyDescent="0.2">
      <c r="A9" s="32">
        <v>2310</v>
      </c>
      <c r="B9" s="185" t="s">
        <v>888</v>
      </c>
      <c r="C9" s="275">
        <f t="shared" si="0"/>
        <v>10348.23</v>
      </c>
      <c r="D9" s="244">
        <v>10348.23</v>
      </c>
      <c r="E9" s="243"/>
      <c r="F9" s="253"/>
      <c r="G9" s="253"/>
      <c r="H9" s="253"/>
      <c r="I9" s="256"/>
    </row>
    <row r="10" spans="1:9" ht="14.25" x14ac:dyDescent="0.2">
      <c r="A10" s="32">
        <v>2317</v>
      </c>
      <c r="B10" s="185" t="s">
        <v>889</v>
      </c>
      <c r="C10" s="275">
        <f t="shared" si="0"/>
        <v>3000</v>
      </c>
      <c r="D10" s="243"/>
      <c r="E10" s="244">
        <v>3000</v>
      </c>
      <c r="F10" s="253"/>
      <c r="G10" s="253"/>
      <c r="H10" s="253"/>
      <c r="I10" s="256"/>
    </row>
    <row r="11" spans="1:9" ht="14.25" x14ac:dyDescent="0.2">
      <c r="A11" s="32">
        <v>2321</v>
      </c>
      <c r="B11" s="185" t="s">
        <v>890</v>
      </c>
      <c r="C11" s="275">
        <f t="shared" si="0"/>
        <v>63488.55</v>
      </c>
      <c r="D11" s="244">
        <v>63488.55</v>
      </c>
      <c r="E11" s="243"/>
      <c r="F11" s="253"/>
      <c r="G11" s="253"/>
      <c r="H11" s="253"/>
      <c r="I11" s="256"/>
    </row>
    <row r="12" spans="1:9" x14ac:dyDescent="0.2">
      <c r="A12" s="32">
        <v>2400</v>
      </c>
      <c r="B12" t="s">
        <v>711</v>
      </c>
      <c r="C12" s="275">
        <f t="shared" si="0"/>
        <v>0</v>
      </c>
      <c r="D12" s="20">
        <f>'DOE25'!L206+'DOE25'!L224+'DOE25'!L242-F12-G12-H12</f>
        <v>0</v>
      </c>
      <c r="E12" s="243"/>
      <c r="F12" s="244"/>
      <c r="G12" s="53">
        <f>'DOE25'!J206+'DOE25'!J224+'DOE25'!J242</f>
        <v>0</v>
      </c>
      <c r="H12" s="53">
        <f>'DOE25'!K206+'DOE25'!K224+'DOE25'!K242</f>
        <v>0</v>
      </c>
      <c r="I12" s="256"/>
    </row>
    <row r="13" spans="1:9" x14ac:dyDescent="0.2">
      <c r="A13" s="32">
        <v>2500</v>
      </c>
      <c r="B13" t="s">
        <v>798</v>
      </c>
      <c r="C13" s="275">
        <f t="shared" si="0"/>
        <v>9739.65</v>
      </c>
      <c r="D13" s="243"/>
      <c r="E13" s="20">
        <f>'DOE25'!L207+'DOE25'!L225+'DOE25'!L243-F13-G13-H13</f>
        <v>9739.65</v>
      </c>
      <c r="F13" s="244"/>
      <c r="G13" s="53">
        <f>'DOE25'!J207+'DOE25'!J225+'DOE25'!J243</f>
        <v>0</v>
      </c>
      <c r="H13" s="53">
        <f>'DOE25'!K207+'DOE25'!K225+'DOE25'!K243</f>
        <v>0</v>
      </c>
      <c r="I13" s="256"/>
    </row>
    <row r="14" spans="1:9" x14ac:dyDescent="0.2">
      <c r="A14" s="32">
        <v>2600</v>
      </c>
      <c r="B14" t="s">
        <v>819</v>
      </c>
      <c r="C14" s="275">
        <f t="shared" si="0"/>
        <v>76.599999999999994</v>
      </c>
      <c r="D14" s="20">
        <f>'DOE25'!L208+'DOE25'!L226+'DOE25'!L244-F14-G14-H14</f>
        <v>76.599999999999994</v>
      </c>
      <c r="E14" s="243"/>
      <c r="F14" s="244"/>
      <c r="G14" s="53">
        <f>'DOE25'!J208+'DOE25'!J226+'DOE25'!J244</f>
        <v>0</v>
      </c>
      <c r="H14" s="53">
        <f>'DOE25'!K208+'DOE25'!K226+'DOE25'!K244</f>
        <v>0</v>
      </c>
      <c r="I14" s="256"/>
    </row>
    <row r="15" spans="1:9" x14ac:dyDescent="0.2">
      <c r="A15" s="32">
        <v>2700</v>
      </c>
      <c r="B15" t="s">
        <v>799</v>
      </c>
      <c r="C15" s="275">
        <f t="shared" si="0"/>
        <v>67942.039999999994</v>
      </c>
      <c r="D15" s="20">
        <f>'DOE25'!L209+'DOE25'!L227+'DOE25'!L245-F15-G15-H15</f>
        <v>67942.039999999994</v>
      </c>
      <c r="E15" s="243"/>
      <c r="F15" s="244"/>
      <c r="G15" s="53">
        <f>'DOE25'!J209+'DOE25'!J227+'DOE25'!J245</f>
        <v>0</v>
      </c>
      <c r="H15" s="53">
        <f>'DOE25'!K209+'DOE25'!K227+'DOE25'!K245</f>
        <v>0</v>
      </c>
      <c r="I15" s="256"/>
    </row>
    <row r="16" spans="1:9" x14ac:dyDescent="0.2">
      <c r="A16" s="32">
        <v>2800</v>
      </c>
      <c r="B16" t="s">
        <v>800</v>
      </c>
      <c r="C16" s="275">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0</v>
      </c>
      <c r="D19" s="20">
        <f>'DOE25'!L254-F19-G19-H19</f>
        <v>0</v>
      </c>
      <c r="E19" s="243"/>
      <c r="F19" s="244"/>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0</v>
      </c>
      <c r="D22" s="243"/>
      <c r="E22" s="243"/>
      <c r="F22" s="243"/>
      <c r="G22" s="53">
        <f>'DOE25'!L256+'DOE25'!L337</f>
        <v>0</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0</v>
      </c>
      <c r="D25" s="243"/>
      <c r="E25" s="243"/>
      <c r="F25" s="255"/>
      <c r="G25" s="253"/>
      <c r="H25" s="253"/>
      <c r="I25" s="254">
        <f>'DOE25'!L261+'DOE25'!L262+'DOE25'!L342+'DOE25'!L343</f>
        <v>0</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0</v>
      </c>
      <c r="D29" s="283">
        <f>'DOE25'!L359+'DOE25'!L360+'DOE25'!L361-'DOE25'!I368-F29-G29-H29</f>
        <v>0</v>
      </c>
      <c r="E29" s="243"/>
      <c r="F29" s="244"/>
      <c r="G29" s="53">
        <f>'DOE25'!J359+'DOE25'!J360+'DOE25'!J361</f>
        <v>0</v>
      </c>
      <c r="H29" s="53">
        <f>'DOE25'!K359+'DOE25'!K360+'DOE25'!K361</f>
        <v>0</v>
      </c>
      <c r="I29" s="256"/>
    </row>
    <row r="30" spans="1:9" x14ac:dyDescent="0.2">
      <c r="A30" s="32"/>
      <c r="C30" s="276"/>
      <c r="D30" s="20"/>
      <c r="E30" s="280"/>
      <c r="F30" s="270"/>
      <c r="G30" s="53"/>
      <c r="H30" s="53"/>
      <c r="I30" s="256"/>
    </row>
    <row r="31" spans="1:9" x14ac:dyDescent="0.2">
      <c r="A31" s="32" t="s">
        <v>818</v>
      </c>
      <c r="B31" t="s">
        <v>817</v>
      </c>
      <c r="C31" s="275">
        <f>SUM(D31:I31)</f>
        <v>7852.5599999999995</v>
      </c>
      <c r="D31" s="20">
        <f>'DOE25'!L291+'DOE25'!L310+'DOE25'!L329+'DOE25'!L334+'DOE25'!L335+'DOE25'!L336-F31-G31-H31</f>
        <v>7852.5599999999995</v>
      </c>
      <c r="E31" s="243"/>
      <c r="F31" s="244"/>
      <c r="G31" s="53">
        <f>'DOE25'!J291+'DOE25'!J310+'DOE25'!J329+'DOE25'!J334+'DOE25'!J335+'DOE25'!J336</f>
        <v>0</v>
      </c>
      <c r="H31" s="53">
        <f>'DOE25'!K291+'DOE25'!K310+'DOE25'!K329+'DOE25'!K334+'DOE25'!K335+'DOE25'!K336</f>
        <v>0</v>
      </c>
      <c r="I31" s="256"/>
    </row>
    <row r="32" spans="1:9" ht="12" thickBot="1" x14ac:dyDescent="0.25">
      <c r="C32" s="276"/>
      <c r="G32" s="251"/>
      <c r="H32" s="251"/>
      <c r="I32" s="258"/>
    </row>
    <row r="33" spans="1:9" ht="12" thickTop="1" x14ac:dyDescent="0.2">
      <c r="B33" t="s">
        <v>809</v>
      </c>
      <c r="D33" s="245">
        <f t="shared" ref="D33:I33" si="1">SUM(D5:D31)</f>
        <v>1524397.0800000003</v>
      </c>
      <c r="E33" s="245">
        <f t="shared" si="1"/>
        <v>50528.030000000021</v>
      </c>
      <c r="F33" s="245">
        <f t="shared" si="1"/>
        <v>0</v>
      </c>
      <c r="G33" s="245">
        <f t="shared" si="1"/>
        <v>0</v>
      </c>
      <c r="H33" s="245">
        <f t="shared" si="1"/>
        <v>2908.73</v>
      </c>
      <c r="I33" s="245">
        <f t="shared" si="1"/>
        <v>0</v>
      </c>
    </row>
    <row r="35" spans="1:9" ht="12" thickBot="1" x14ac:dyDescent="0.25">
      <c r="B35" s="251" t="s">
        <v>831</v>
      </c>
      <c r="D35" s="252">
        <f>E33</f>
        <v>50528.030000000021</v>
      </c>
      <c r="E35" s="248"/>
      <c r="F35" s="335" t="s">
        <v>1632</v>
      </c>
      <c r="G35" s="336"/>
      <c r="H35" s="336"/>
      <c r="I35" s="336"/>
    </row>
    <row r="36" spans="1:9" ht="12" thickTop="1" x14ac:dyDescent="0.2">
      <c r="B36" t="s">
        <v>810</v>
      </c>
      <c r="D36" s="20">
        <f>D33</f>
        <v>1524397.0800000003</v>
      </c>
      <c r="F36" s="338" t="s">
        <v>1622</v>
      </c>
      <c r="G36" s="337" t="str">
        <f>IF(F36=0,"&lt;&lt;&lt;&lt;&lt; YOU HAVE NOT CHOSEN IF YOU WANT AN INDIRECT COST RATE!!","")</f>
        <v/>
      </c>
      <c r="H36" s="337"/>
    </row>
    <row r="38" spans="1:9" x14ac:dyDescent="0.2">
      <c r="B38" s="187" t="s">
        <v>899</v>
      </c>
      <c r="C38" s="261"/>
      <c r="D38" s="284"/>
    </row>
    <row r="39" spans="1:9" x14ac:dyDescent="0.2">
      <c r="B39" s="187"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1" t="s">
        <v>900</v>
      </c>
      <c r="C53" s="371"/>
      <c r="D53" s="371"/>
      <c r="E53" s="371"/>
      <c r="F53" s="371"/>
      <c r="G53" s="371"/>
      <c r="H53" s="371"/>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85" sqref="E8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Goshen School District</v>
      </c>
      <c r="B2" s="126">
        <f>'DOE25'!B2</f>
        <v>204</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1034734.9400000001</v>
      </c>
      <c r="G4" s="302">
        <f>'DOE25'!L212+'DOE25'!L291</f>
        <v>1034734.9400000001</v>
      </c>
      <c r="H4" s="355">
        <f>F4-G4</f>
        <v>0</v>
      </c>
      <c r="I4" s="372" t="str">
        <f>IF(H4=0,"","ISSUES!! Please review page 7 and 11 totals in comparison with total on this page")</f>
        <v/>
      </c>
      <c r="N4"/>
    </row>
    <row r="5" spans="1:18" x14ac:dyDescent="0.2">
      <c r="A5" s="21" t="s">
        <v>1555</v>
      </c>
      <c r="B5" s="303">
        <f>IFERROR(VLOOKUP(A5,'School Tables'!$C$3:$D$365,2,FALSE),"")</f>
        <v>99999</v>
      </c>
      <c r="C5" s="296" t="str">
        <f>IFERROR(INDEX('School Tables'!$B$3:$B$365,MATCH('School Level Expenditures'!B5,'School Tables'!$D$3:$D$365,0)),"")</f>
        <v>Other District Expenditures</v>
      </c>
      <c r="D5" s="293">
        <v>1019626.91</v>
      </c>
      <c r="E5" s="293">
        <f>11735.47+3252.09+120.47</f>
        <v>15108.029999999999</v>
      </c>
      <c r="F5" s="306">
        <f>D5+E5</f>
        <v>1034734.9400000001</v>
      </c>
      <c r="G5" s="296"/>
      <c r="H5" s="296"/>
      <c r="I5" s="373"/>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373"/>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1019626.91</v>
      </c>
      <c r="E21" s="353">
        <f>SUM(E5:E20)</f>
        <v>15108.029999999999</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0</v>
      </c>
      <c r="G24" s="302">
        <f>'DOE25'!L230+'DOE25'!L310</f>
        <v>0</v>
      </c>
      <c r="H24" s="355">
        <f>F24-G24</f>
        <v>0</v>
      </c>
      <c r="I24" s="372" t="str">
        <f>IF(H24=0,"","ISSUES!! Please review page 8 and 12 totals in comparison with total on this page")</f>
        <v/>
      </c>
      <c r="N24"/>
    </row>
    <row r="25" spans="1:14" x14ac:dyDescent="0.2">
      <c r="A25" s="21"/>
      <c r="B25" s="303" t="str">
        <f>IFERROR(VLOOKUP(A25,'School Tables'!$I$3:$J$80,2,FALSE),"")</f>
        <v/>
      </c>
      <c r="C25" s="296" t="str">
        <f t="array" ref="C25">IFERROR(INDEX('School Tables'!$H$3:$H$80,MATCH('School Level Expenditures'!B25,'School Tables'!$J$3:$J$80,0)),"")</f>
        <v/>
      </c>
      <c r="D25" s="293"/>
      <c r="E25" s="293"/>
      <c r="F25" s="306">
        <f>D25+E25</f>
        <v>0</v>
      </c>
      <c r="G25" s="296"/>
      <c r="H25" s="296"/>
      <c r="I25" s="373"/>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3"/>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0</v>
      </c>
      <c r="E33" s="353">
        <f>SUM(E25:E32)</f>
        <v>0</v>
      </c>
      <c r="F33" s="305"/>
      <c r="G33" s="305"/>
      <c r="H33" s="305"/>
      <c r="I33" s="126"/>
      <c r="N33"/>
    </row>
    <row r="34" spans="1:14" ht="12.75" thickTop="1" thickBot="1" x14ac:dyDescent="0.25">
      <c r="A34" s="21"/>
      <c r="B34" s="304"/>
      <c r="C34" s="305"/>
      <c r="D34" s="293"/>
      <c r="E34" s="293"/>
      <c r="F34" s="305"/>
      <c r="G34" s="305"/>
      <c r="H34" s="305"/>
      <c r="I34" s="126"/>
      <c r="N34"/>
    </row>
    <row r="35" spans="1:14" ht="23.2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540098.9</v>
      </c>
      <c r="G36" s="302">
        <f>'DOE25'!L248+'DOE25'!L329</f>
        <v>540098.9</v>
      </c>
      <c r="H36" s="355">
        <f>F36-G36</f>
        <v>0</v>
      </c>
      <c r="I36" s="372" t="str">
        <f>IF(H36=0,"","ISSUES!! Please review page 9 and 13 totals in comparison with total on this page")</f>
        <v/>
      </c>
      <c r="N36"/>
    </row>
    <row r="37" spans="1:14" x14ac:dyDescent="0.2">
      <c r="A37" s="21" t="s">
        <v>1555</v>
      </c>
      <c r="B37" s="303">
        <f>IFERROR(VLOOKUP(A37,'School Tables'!$O$3:$P$118,2,FALSE),"")</f>
        <v>99999</v>
      </c>
      <c r="C37" s="296" t="str">
        <f t="array" ref="C37">IFERROR(INDEX('School Tables'!$N$3:$N$118,MATCH('School Level Expenditures'!B37,'School Tables'!$P$3:$P$118,0)),"")</f>
        <v>Other District Expenditures</v>
      </c>
      <c r="D37" s="293">
        <v>529838.75</v>
      </c>
      <c r="E37" s="293">
        <f>5780.15+4480</f>
        <v>10260.15</v>
      </c>
      <c r="F37" s="306">
        <f t="shared" ref="F37:F42" si="2">D37+E37</f>
        <v>540098.9</v>
      </c>
      <c r="G37" s="296"/>
      <c r="H37" s="296"/>
      <c r="I37" s="373"/>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3"/>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529838.75</v>
      </c>
      <c r="E43" s="354">
        <f>SUM(E37:E42)</f>
        <v>10260.15</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1"/>
      <c r="B58" s="371"/>
      <c r="C58" s="371"/>
      <c r="D58" s="371"/>
      <c r="E58" s="371"/>
      <c r="F58" s="371"/>
      <c r="G58" s="37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Goshen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354017.06999999995</v>
      </c>
      <c r="D8" s="95">
        <f>'DOE25'!G9</f>
        <v>0</v>
      </c>
      <c r="E8" s="95">
        <f>'DOE25'!H9</f>
        <v>0</v>
      </c>
      <c r="F8" s="95">
        <f>'DOE25'!I9</f>
        <v>0</v>
      </c>
      <c r="G8" s="95">
        <f>'DOE25'!J9</f>
        <v>0</v>
      </c>
      <c r="H8" s="124"/>
      <c r="I8" s="124"/>
    </row>
    <row r="9" spans="1:9" x14ac:dyDescent="0.2">
      <c r="A9" s="1" t="s">
        <v>140</v>
      </c>
      <c r="B9" s="6">
        <v>110</v>
      </c>
      <c r="C9" s="95">
        <f>'DOE25'!F10</f>
        <v>8410</v>
      </c>
      <c r="D9" s="95">
        <f>'DOE25'!G10</f>
        <v>0</v>
      </c>
      <c r="E9" s="95">
        <f>'DOE25'!H10</f>
        <v>0</v>
      </c>
      <c r="F9" s="95">
        <f>'DOE25'!I10</f>
        <v>0</v>
      </c>
      <c r="G9" s="95">
        <f>'DOE25'!J10</f>
        <v>300356.39</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983.54</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983.54</v>
      </c>
      <c r="F12" s="95">
        <f>'DOE25'!I13</f>
        <v>0</v>
      </c>
      <c r="G12" s="95">
        <f>'DOE25'!J13</f>
        <v>0</v>
      </c>
      <c r="H12" s="124"/>
      <c r="I12" s="124"/>
    </row>
    <row r="13" spans="1:9" x14ac:dyDescent="0.2">
      <c r="A13" s="1" t="s">
        <v>144</v>
      </c>
      <c r="B13" s="6">
        <v>150</v>
      </c>
      <c r="C13" s="95">
        <f>'DOE25'!F14</f>
        <v>1589.36</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364999.96999999991</v>
      </c>
      <c r="D18" s="41">
        <f>SUM(D8:D17)</f>
        <v>0</v>
      </c>
      <c r="E18" s="41">
        <f>SUM(E8:E17)</f>
        <v>983.54</v>
      </c>
      <c r="F18" s="41">
        <f>SUM(F8:F17)</f>
        <v>0</v>
      </c>
      <c r="G18" s="41">
        <f>SUM(G8:G17)</f>
        <v>300356.39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983.54</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60006.29</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4664.04</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64670.33</v>
      </c>
      <c r="D31" s="41">
        <f>SUM(D21:D30)</f>
        <v>0</v>
      </c>
      <c r="E31" s="41">
        <f>SUM(E21:E30)</f>
        <v>983.54</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80000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300356.39</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210329.63999999996</v>
      </c>
      <c r="D49" s="24" t="s">
        <v>288</v>
      </c>
      <c r="E49" s="24" t="s">
        <v>288</v>
      </c>
      <c r="F49" s="24" t="s">
        <v>288</v>
      </c>
      <c r="G49" s="24" t="s">
        <v>288</v>
      </c>
      <c r="H49" s="124"/>
      <c r="I49" s="124"/>
    </row>
    <row r="50" spans="1:9" ht="12.75" thickTop="1" thickBot="1" x14ac:dyDescent="0.25">
      <c r="A50" s="38" t="s">
        <v>884</v>
      </c>
      <c r="B50" s="48"/>
      <c r="C50" s="41">
        <f>SUM(C34:C49)</f>
        <v>300329.63999999996</v>
      </c>
      <c r="D50" s="41">
        <f>SUM(D34:D49)</f>
        <v>0</v>
      </c>
      <c r="E50" s="41">
        <f>SUM(E34:E49)</f>
        <v>0</v>
      </c>
      <c r="F50" s="41">
        <f>SUM(F34:F49)</f>
        <v>0</v>
      </c>
      <c r="G50" s="41">
        <f>SUM(G34:G49)</f>
        <v>300356.39</v>
      </c>
      <c r="H50" s="124"/>
      <c r="I50" s="124"/>
    </row>
    <row r="51" spans="1:9" ht="12" thickTop="1" x14ac:dyDescent="0.2">
      <c r="A51" s="38" t="s">
        <v>885</v>
      </c>
      <c r="B51" s="2"/>
      <c r="C51" s="41">
        <f>C50+C31</f>
        <v>364999.97</v>
      </c>
      <c r="D51" s="41">
        <f>D50+D31</f>
        <v>0</v>
      </c>
      <c r="E51" s="41">
        <f>E50+E31</f>
        <v>983.54</v>
      </c>
      <c r="F51" s="41">
        <f>F50+F31</f>
        <v>0</v>
      </c>
      <c r="G51" s="41">
        <f>G50+G31</f>
        <v>300356.39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853623</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370.25</v>
      </c>
      <c r="D59" s="95">
        <f>'DOE25'!G96</f>
        <v>0</v>
      </c>
      <c r="E59" s="95">
        <f>'DOE25'!H96</f>
        <v>0</v>
      </c>
      <c r="F59" s="95">
        <f>'DOE25'!I96</f>
        <v>0</v>
      </c>
      <c r="G59" s="95">
        <f>'DOE25'!J96</f>
        <v>308.58</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370.25</v>
      </c>
      <c r="D62" s="130">
        <f>SUM(D57:D61)</f>
        <v>0</v>
      </c>
      <c r="E62" s="130">
        <f>SUM(E57:E61)</f>
        <v>0</v>
      </c>
      <c r="F62" s="130">
        <f>SUM(F57:F61)</f>
        <v>0</v>
      </c>
      <c r="G62" s="130">
        <f>SUM(G57:G61)</f>
        <v>308.58</v>
      </c>
      <c r="H62"/>
      <c r="I62"/>
    </row>
    <row r="63" spans="1:9" ht="12" thickTop="1" x14ac:dyDescent="0.2">
      <c r="A63" s="29" t="s">
        <v>175</v>
      </c>
      <c r="B63" s="6"/>
      <c r="C63" s="22">
        <f>C56+C62</f>
        <v>853993.25</v>
      </c>
      <c r="D63" s="22">
        <f>D56+D62</f>
        <v>0</v>
      </c>
      <c r="E63" s="22">
        <f>E56+E62</f>
        <v>0</v>
      </c>
      <c r="F63" s="22">
        <f>F56+F62</f>
        <v>0</v>
      </c>
      <c r="G63" s="22">
        <f>G56+G62</f>
        <v>308.58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512277.85</v>
      </c>
      <c r="D66" s="24" t="s">
        <v>288</v>
      </c>
      <c r="E66" s="24" t="s">
        <v>288</v>
      </c>
      <c r="F66" s="24" t="s">
        <v>288</v>
      </c>
      <c r="G66" s="24" t="s">
        <v>288</v>
      </c>
      <c r="H66"/>
      <c r="I66"/>
    </row>
    <row r="67" spans="1:9" x14ac:dyDescent="0.2">
      <c r="A67" s="1" t="s">
        <v>770</v>
      </c>
      <c r="B67" s="6">
        <v>3112</v>
      </c>
      <c r="C67" s="95">
        <f>'DOE25'!F118</f>
        <v>141964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85.76</v>
      </c>
      <c r="D69" s="95">
        <f>'DOE25'!G120</f>
        <v>0</v>
      </c>
      <c r="E69" s="95">
        <f>'DOE25'!H120</f>
        <v>0</v>
      </c>
      <c r="F69" s="95">
        <f>'DOE25'!I120</f>
        <v>0</v>
      </c>
      <c r="G69" s="95">
        <f>'DOE25'!J120</f>
        <v>0</v>
      </c>
      <c r="H69"/>
      <c r="I69"/>
    </row>
    <row r="70" spans="1:9" ht="12" thickTop="1" x14ac:dyDescent="0.2">
      <c r="A70" s="29" t="s">
        <v>252</v>
      </c>
      <c r="B70" s="2"/>
      <c r="C70" s="139">
        <f>SUM(C66:C69)</f>
        <v>654327.61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654327.61</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0" t="s">
        <v>747</v>
      </c>
      <c r="B88" s="332" t="s">
        <v>184</v>
      </c>
      <c r="C88" s="333">
        <f>SUM('DOE25'!F153:F162)</f>
        <v>24185.4</v>
      </c>
      <c r="D88" s="333">
        <f>SUM('DOE25'!G153:G162)</f>
        <v>0</v>
      </c>
      <c r="E88" s="333">
        <f>SUM('DOE25'!H153:H162)</f>
        <v>7852.5599999999995</v>
      </c>
      <c r="F88" s="333">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24185.4</v>
      </c>
      <c r="D91" s="131">
        <f>SUM(D85:D90)</f>
        <v>0</v>
      </c>
      <c r="E91" s="131">
        <f>SUM(E85:E90)</f>
        <v>7852.5599999999995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40000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40000</v>
      </c>
    </row>
    <row r="104" spans="1:7" ht="12.75" thickTop="1" thickBot="1" x14ac:dyDescent="0.25">
      <c r="A104" s="33" t="s">
        <v>761</v>
      </c>
      <c r="C104" s="86">
        <f>C63+C81+C91+C103</f>
        <v>1532506.2599999998</v>
      </c>
      <c r="D104" s="86">
        <f>D63+D81+D91+D103</f>
        <v>0</v>
      </c>
      <c r="E104" s="86">
        <f>E63+E81+E91+E103</f>
        <v>7852.5599999999995</v>
      </c>
      <c r="F104" s="86">
        <f>F63+F81+F91+F103</f>
        <v>0</v>
      </c>
      <c r="G104" s="86">
        <f>G63+G81+G103</f>
        <v>40308.58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1205773.1400000001</v>
      </c>
      <c r="D109" s="24" t="s">
        <v>288</v>
      </c>
      <c r="E109" s="95">
        <f>('DOE25'!L277)+('DOE25'!L296)+('DOE25'!L315)</f>
        <v>120.47</v>
      </c>
      <c r="F109" s="24" t="s">
        <v>288</v>
      </c>
      <c r="G109" s="24" t="s">
        <v>288</v>
      </c>
    </row>
    <row r="110" spans="1:7" x14ac:dyDescent="0.2">
      <c r="A110" t="s">
        <v>198</v>
      </c>
      <c r="B110" s="32" t="s">
        <v>199</v>
      </c>
      <c r="C110" s="95">
        <f>('DOE25'!L199)+('DOE25'!L217)+('DOE25'!L235)</f>
        <v>142249.17000000001</v>
      </c>
      <c r="D110" s="24" t="s">
        <v>288</v>
      </c>
      <c r="E110" s="95">
        <f>('DOE25'!L278)+('DOE25'!L297)+('DOE25'!L316)</f>
        <v>7507.09</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1348022.31</v>
      </c>
      <c r="D115" s="86">
        <f>SUM(D109:D114)</f>
        <v>0</v>
      </c>
      <c r="E115" s="86">
        <f>SUM(E109:E114)</f>
        <v>7627.56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26666.79</v>
      </c>
      <c r="D118" s="24" t="s">
        <v>288</v>
      </c>
      <c r="E118" s="95">
        <f>+('DOE25'!L282)+('DOE25'!L301)+('DOE25'!L320)</f>
        <v>0</v>
      </c>
      <c r="F118" s="24" t="s">
        <v>288</v>
      </c>
      <c r="G118" s="24" t="s">
        <v>288</v>
      </c>
    </row>
    <row r="119" spans="1:7" x14ac:dyDescent="0.2">
      <c r="A119" t="s">
        <v>208</v>
      </c>
      <c r="B119" s="32" t="s">
        <v>209</v>
      </c>
      <c r="C119" s="95">
        <f>('DOE25'!L204)+('DOE25'!L222)+('DOE25'!L240)</f>
        <v>0</v>
      </c>
      <c r="D119" s="24" t="s">
        <v>288</v>
      </c>
      <c r="E119" s="95">
        <f>+('DOE25'!L283)+('DOE25'!L302)+('DOE25'!L321)</f>
        <v>225</v>
      </c>
      <c r="F119" s="24" t="s">
        <v>288</v>
      </c>
      <c r="G119" s="24" t="s">
        <v>288</v>
      </c>
    </row>
    <row r="120" spans="1:7" x14ac:dyDescent="0.2">
      <c r="A120" t="s">
        <v>210</v>
      </c>
      <c r="B120" s="32" t="s">
        <v>211</v>
      </c>
      <c r="C120" s="95">
        <f>('DOE25'!L205)+('DOE25'!L223)+('DOE25'!L241)</f>
        <v>114533.89000000001</v>
      </c>
      <c r="D120" s="24" t="s">
        <v>288</v>
      </c>
      <c r="E120" s="95">
        <f>+('DOE25'!L284)+('DOE25'!L303)+('DOE25'!L322)</f>
        <v>0</v>
      </c>
      <c r="F120" s="24" t="s">
        <v>288</v>
      </c>
      <c r="G120" s="24" t="s">
        <v>288</v>
      </c>
    </row>
    <row r="121" spans="1:7" x14ac:dyDescent="0.2">
      <c r="A121" t="s">
        <v>212</v>
      </c>
      <c r="B121" s="32" t="s">
        <v>213</v>
      </c>
      <c r="C121" s="95">
        <f>('DOE25'!L206)+('DOE25'!L224)+('DOE25'!L242)</f>
        <v>0</v>
      </c>
      <c r="D121" s="24" t="s">
        <v>288</v>
      </c>
      <c r="E121" s="95">
        <f>+('DOE25'!L285)+('DOE25'!L304)+('DOE25'!L323)</f>
        <v>0</v>
      </c>
      <c r="F121" s="24" t="s">
        <v>288</v>
      </c>
      <c r="G121" s="24" t="s">
        <v>288</v>
      </c>
    </row>
    <row r="122" spans="1:7" x14ac:dyDescent="0.2">
      <c r="A122" t="s">
        <v>214</v>
      </c>
      <c r="B122" s="32" t="s">
        <v>215</v>
      </c>
      <c r="C122" s="95">
        <f>('DOE25'!L207)+('DOE25'!L225)+('DOE25'!L243)</f>
        <v>9739.65</v>
      </c>
      <c r="D122" s="24" t="s">
        <v>288</v>
      </c>
      <c r="E122" s="95">
        <f>+('DOE25'!L286)+('DOE25'!L305)+('DOE25'!L324)</f>
        <v>0</v>
      </c>
      <c r="F122" s="24" t="s">
        <v>288</v>
      </c>
      <c r="G122" s="24" t="s">
        <v>288</v>
      </c>
    </row>
    <row r="123" spans="1:7" x14ac:dyDescent="0.2">
      <c r="A123" t="s">
        <v>216</v>
      </c>
      <c r="B123" s="32" t="s">
        <v>217</v>
      </c>
      <c r="C123" s="95">
        <f>('DOE25'!L208)+('DOE25'!L226)+('DOE25'!L244)</f>
        <v>76.599999999999994</v>
      </c>
      <c r="D123" s="24" t="s">
        <v>288</v>
      </c>
      <c r="E123" s="95">
        <f>+('DOE25'!L287)+('DOE25'!L306)+('DOE25'!L325)</f>
        <v>0</v>
      </c>
      <c r="F123" s="24" t="s">
        <v>288</v>
      </c>
      <c r="G123" s="24" t="s">
        <v>288</v>
      </c>
    </row>
    <row r="124" spans="1:7" x14ac:dyDescent="0.2">
      <c r="A124" t="s">
        <v>218</v>
      </c>
      <c r="B124" s="32" t="s">
        <v>219</v>
      </c>
      <c r="C124" s="95">
        <f>('DOE25'!L209)+('DOE25'!L227)+('DOE25'!L245+'DOE25'!L255)</f>
        <v>67942.039999999994</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0</v>
      </c>
      <c r="E127" s="24" t="s">
        <v>288</v>
      </c>
      <c r="F127" s="24" t="s">
        <v>288</v>
      </c>
      <c r="G127" s="24" t="s">
        <v>288</v>
      </c>
    </row>
    <row r="128" spans="1:7" ht="12.75" thickTop="1" thickBot="1" x14ac:dyDescent="0.25">
      <c r="A128" s="33" t="s">
        <v>226</v>
      </c>
      <c r="C128" s="86">
        <f>SUM(C118:C127)</f>
        <v>218958.97000000003</v>
      </c>
      <c r="D128" s="86">
        <f>SUM(D118:D127)</f>
        <v>0</v>
      </c>
      <c r="E128" s="86">
        <f>SUM(E118:E127)</f>
        <v>225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40308.579999999994</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-308.57999999999447</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40000</v>
      </c>
      <c r="D144" s="141">
        <f>SUM(D130:D143)</f>
        <v>0</v>
      </c>
      <c r="E144" s="141">
        <f>SUM(E130:E143)</f>
        <v>0</v>
      </c>
      <c r="F144" s="141">
        <f>SUM(F130:F143)</f>
        <v>0</v>
      </c>
      <c r="G144" s="141">
        <f>SUM(G130:G143)</f>
        <v>0</v>
      </c>
    </row>
    <row r="145" spans="1:9" ht="12.75" thickTop="1" thickBot="1" x14ac:dyDescent="0.25">
      <c r="A145" s="33" t="s">
        <v>244</v>
      </c>
      <c r="C145" s="86">
        <f>(C115+C128+C144)</f>
        <v>1606981.28</v>
      </c>
      <c r="D145" s="86">
        <f>(D115+D128+D144)</f>
        <v>0</v>
      </c>
      <c r="E145" s="86">
        <f>(E115+E128+E144)</f>
        <v>7852.56</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E22" sqref="E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Goshen School District</v>
      </c>
    </row>
    <row r="3" spans="1:4" x14ac:dyDescent="0.2">
      <c r="B3" s="188" t="s">
        <v>1666</v>
      </c>
    </row>
    <row r="4" spans="1:4" x14ac:dyDescent="0.2">
      <c r="B4" t="s">
        <v>61</v>
      </c>
      <c r="C4" s="179">
        <f>IF('DOE25'!F666+'DOE25'!F671=0,0,ROUND('DOE25'!F673,0))</f>
        <v>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0</v>
      </c>
    </row>
    <row r="9" spans="1:4" x14ac:dyDescent="0.2">
      <c r="A9" s="187" t="s">
        <v>94</v>
      </c>
      <c r="B9" s="188" t="s">
        <v>1671</v>
      </c>
      <c r="C9" s="181" t="s">
        <v>720</v>
      </c>
      <c r="D9" s="181" t="s">
        <v>721</v>
      </c>
    </row>
    <row r="10" spans="1:4" x14ac:dyDescent="0.2">
      <c r="A10">
        <v>1100</v>
      </c>
      <c r="B10" t="s">
        <v>702</v>
      </c>
      <c r="C10" s="179">
        <f>ROUND('DOE25'!L198+'DOE25'!L216+'DOE25'!L234+'DOE25'!L277+'DOE25'!L296+'DOE25'!L315,0)</f>
        <v>1205894</v>
      </c>
      <c r="D10" s="182">
        <f>ROUND((C10/$C$28)*100,1)</f>
        <v>76.599999999999994</v>
      </c>
    </row>
    <row r="11" spans="1:4" x14ac:dyDescent="0.2">
      <c r="A11">
        <v>1200</v>
      </c>
      <c r="B11" t="s">
        <v>703</v>
      </c>
      <c r="C11" s="179">
        <f>ROUND('DOE25'!L199+'DOE25'!L217+'DOE25'!L235+'DOE25'!L278+'DOE25'!L297+'DOE25'!L316,0)</f>
        <v>149756</v>
      </c>
      <c r="D11" s="182">
        <f>ROUND((C11/$C$28)*100,1)</f>
        <v>9.5</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26667</v>
      </c>
      <c r="D15" s="182">
        <f t="shared" ref="D15:D27" si="0">ROUND((C15/$C$28)*100,1)</f>
        <v>1.7</v>
      </c>
    </row>
    <row r="16" spans="1:4" x14ac:dyDescent="0.2">
      <c r="A16">
        <v>2200</v>
      </c>
      <c r="B16" t="s">
        <v>707</v>
      </c>
      <c r="C16" s="179">
        <f>ROUND('DOE25'!L204+'DOE25'!L222+'DOE25'!L240+'DOE25'!L283+'DOE25'!L302+'DOE25'!L321,0)</f>
        <v>225</v>
      </c>
      <c r="D16" s="182">
        <f t="shared" si="0"/>
        <v>0</v>
      </c>
    </row>
    <row r="17" spans="1:4" x14ac:dyDescent="0.2">
      <c r="A17" s="183" t="s">
        <v>723</v>
      </c>
      <c r="B17" t="s">
        <v>738</v>
      </c>
      <c r="C17" s="179">
        <f>ROUND('DOE25'!L205+'DOE25'!L210+'DOE25'!L223+'DOE25'!L228+'DOE25'!L241+'DOE25'!L246+'DOE25'!L284+'DOE25'!L289+'DOE25'!L303+'DOE25'!L308+'DOE25'!L322+'DOE25'!L327,0)</f>
        <v>114534</v>
      </c>
      <c r="D17" s="182">
        <f t="shared" si="0"/>
        <v>7.3</v>
      </c>
    </row>
    <row r="18" spans="1:4" x14ac:dyDescent="0.2">
      <c r="A18">
        <v>2400</v>
      </c>
      <c r="B18" t="s">
        <v>711</v>
      </c>
      <c r="C18" s="179">
        <f>ROUND('DOE25'!L206+'DOE25'!L224+'DOE25'!L242+'DOE25'!L285+'DOE25'!L304+'DOE25'!L323,0)</f>
        <v>0</v>
      </c>
      <c r="D18" s="182">
        <f t="shared" si="0"/>
        <v>0</v>
      </c>
    </row>
    <row r="19" spans="1:4" x14ac:dyDescent="0.2">
      <c r="A19">
        <v>2500</v>
      </c>
      <c r="B19" t="s">
        <v>708</v>
      </c>
      <c r="C19" s="179">
        <f>ROUND('DOE25'!L207+'DOE25'!L225+'DOE25'!L243+'DOE25'!L286+'DOE25'!L305+'DOE25'!L324,0)</f>
        <v>9740</v>
      </c>
      <c r="D19" s="182">
        <f t="shared" si="0"/>
        <v>0.6</v>
      </c>
    </row>
    <row r="20" spans="1:4" x14ac:dyDescent="0.2">
      <c r="A20">
        <v>2600</v>
      </c>
      <c r="B20" t="s">
        <v>709</v>
      </c>
      <c r="C20" s="179">
        <f>ROUND('DOE25'!L208+'DOE25'!L226+'DOE25'!L244+'DOE25'!L287+'DOE25'!L306+'DOE25'!L325,0)</f>
        <v>77</v>
      </c>
      <c r="D20" s="182">
        <f t="shared" si="0"/>
        <v>0</v>
      </c>
    </row>
    <row r="21" spans="1:4" x14ac:dyDescent="0.2">
      <c r="A21">
        <v>2700</v>
      </c>
      <c r="B21" t="s">
        <v>710</v>
      </c>
      <c r="C21" s="179">
        <f>ROUND('DOE25'!L209+'DOE25'!L227+'DOE25'!L245+'DOE25'!L288+'DOE25'!L307+'DOE25'!L326,0)</f>
        <v>67942</v>
      </c>
      <c r="D21" s="182">
        <f t="shared" si="0"/>
        <v>4.3</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0</v>
      </c>
      <c r="D27" s="182">
        <f t="shared" si="0"/>
        <v>0</v>
      </c>
    </row>
    <row r="28" spans="1:4" x14ac:dyDescent="0.2">
      <c r="B28" s="187" t="s">
        <v>719</v>
      </c>
      <c r="C28" s="180">
        <f>SUM(C10:C27)</f>
        <v>1574835</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1574835</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853623</v>
      </c>
      <c r="D35" s="182">
        <f t="shared" ref="D35:D40" si="1">ROUND((C35/$C$41)*100,1)</f>
        <v>55.4</v>
      </c>
    </row>
    <row r="36" spans="1:4" x14ac:dyDescent="0.2">
      <c r="B36" s="185" t="s">
        <v>739</v>
      </c>
      <c r="C36" s="179">
        <f>SUM('DOE25'!F112:J112)-SUM('DOE25'!G97:G110)+('DOE25'!F175+'DOE25'!F176+'DOE25'!I175+'DOE25'!I176)-C35</f>
        <v>678.82999999995809</v>
      </c>
      <c r="D36" s="182">
        <f t="shared" si="1"/>
        <v>0</v>
      </c>
    </row>
    <row r="37" spans="1:4" x14ac:dyDescent="0.2">
      <c r="A37" s="183" t="s">
        <v>835</v>
      </c>
      <c r="B37" s="185" t="s">
        <v>728</v>
      </c>
      <c r="C37" s="179">
        <f>ROUND('DOE25'!F117+'DOE25'!F118,0)</f>
        <v>654242</v>
      </c>
      <c r="D37" s="182">
        <f t="shared" si="1"/>
        <v>42.5</v>
      </c>
    </row>
    <row r="38" spans="1:4" x14ac:dyDescent="0.2">
      <c r="A38" s="183" t="s">
        <v>734</v>
      </c>
      <c r="B38" s="185" t="s">
        <v>729</v>
      </c>
      <c r="C38" s="179">
        <f>ROUND(SUM('DOE25'!F140:J140)-SUM('DOE25'!F117:F119),0)</f>
        <v>86</v>
      </c>
      <c r="D38" s="182">
        <f t="shared" si="1"/>
        <v>0</v>
      </c>
    </row>
    <row r="39" spans="1:4" x14ac:dyDescent="0.2">
      <c r="A39">
        <v>4000</v>
      </c>
      <c r="B39" s="185" t="s">
        <v>730</v>
      </c>
      <c r="C39" s="179">
        <f>ROUND('DOE25'!F170+'DOE25'!G170+'DOE25'!H170+'DOE25'!I170,0)</f>
        <v>32038</v>
      </c>
      <c r="D39" s="182">
        <f t="shared" si="1"/>
        <v>2.1</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1540667.83</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85" t="s">
        <v>766</v>
      </c>
      <c r="B1" s="386"/>
      <c r="C1" s="386"/>
      <c r="D1" s="386"/>
      <c r="E1" s="386"/>
      <c r="F1" s="386"/>
      <c r="G1" s="386"/>
      <c r="H1" s="386"/>
      <c r="I1" s="386"/>
      <c r="J1" s="213"/>
      <c r="K1" s="213"/>
      <c r="L1" s="213"/>
      <c r="M1" s="214"/>
    </row>
    <row r="2" spans="1:26" ht="12.75" x14ac:dyDescent="0.2">
      <c r="A2" s="391" t="s">
        <v>763</v>
      </c>
      <c r="B2" s="392"/>
      <c r="C2" s="392"/>
      <c r="D2" s="392"/>
      <c r="E2" s="392"/>
      <c r="F2" s="389" t="str">
        <f>'DOE25'!A2</f>
        <v>Goshen School District</v>
      </c>
      <c r="G2" s="390"/>
      <c r="H2" s="390"/>
      <c r="I2" s="390"/>
      <c r="J2" s="52"/>
      <c r="K2" s="52"/>
      <c r="L2" s="52"/>
      <c r="M2" s="215"/>
    </row>
    <row r="3" spans="1:26" x14ac:dyDescent="0.2">
      <c r="A3" s="216" t="s">
        <v>764</v>
      </c>
      <c r="B3" s="217" t="s">
        <v>765</v>
      </c>
      <c r="C3" s="387" t="s">
        <v>767</v>
      </c>
      <c r="D3" s="387"/>
      <c r="E3" s="387"/>
      <c r="F3" s="387"/>
      <c r="G3" s="387"/>
      <c r="H3" s="387"/>
      <c r="I3" s="387"/>
      <c r="J3" s="387"/>
      <c r="K3" s="387"/>
      <c r="L3" s="387"/>
      <c r="M3" s="388"/>
    </row>
    <row r="4" spans="1:26" x14ac:dyDescent="0.2">
      <c r="A4" s="218"/>
      <c r="B4" s="219"/>
      <c r="C4" s="376"/>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82"/>
      <c r="Q29" s="382"/>
      <c r="R29" s="382"/>
      <c r="S29" s="382"/>
      <c r="T29" s="382"/>
      <c r="U29" s="382"/>
      <c r="V29" s="382"/>
      <c r="W29" s="382"/>
      <c r="X29" s="382"/>
      <c r="Y29" s="382"/>
      <c r="Z29" s="382"/>
      <c r="AA29" s="207"/>
      <c r="AB29" s="207"/>
      <c r="AC29" s="381"/>
      <c r="AD29" s="381"/>
      <c r="AE29" s="381"/>
      <c r="AF29" s="381"/>
      <c r="AG29" s="381"/>
      <c r="AH29" s="381"/>
      <c r="AI29" s="381"/>
      <c r="AJ29" s="381"/>
      <c r="AK29" s="381"/>
      <c r="AL29" s="381"/>
      <c r="AM29" s="381"/>
      <c r="AN29" s="207"/>
      <c r="AO29" s="207"/>
      <c r="AP29" s="381"/>
      <c r="AQ29" s="381"/>
      <c r="AR29" s="381"/>
      <c r="AS29" s="381"/>
      <c r="AT29" s="381"/>
      <c r="AU29" s="381"/>
      <c r="AV29" s="381"/>
      <c r="AW29" s="381"/>
      <c r="AX29" s="381"/>
      <c r="AY29" s="381"/>
      <c r="AZ29" s="381"/>
      <c r="BA29" s="207"/>
      <c r="BB29" s="207"/>
      <c r="BC29" s="381"/>
      <c r="BD29" s="381"/>
      <c r="BE29" s="381"/>
      <c r="BF29" s="381"/>
      <c r="BG29" s="381"/>
      <c r="BH29" s="381"/>
      <c r="BI29" s="381"/>
      <c r="BJ29" s="381"/>
      <c r="BK29" s="381"/>
      <c r="BL29" s="381"/>
      <c r="BM29" s="381"/>
      <c r="BN29" s="207"/>
      <c r="BO29" s="207"/>
      <c r="BP29" s="381"/>
      <c r="BQ29" s="381"/>
      <c r="BR29" s="381"/>
      <c r="BS29" s="381"/>
      <c r="BT29" s="381"/>
      <c r="BU29" s="381"/>
      <c r="BV29" s="381"/>
      <c r="BW29" s="381"/>
      <c r="BX29" s="381"/>
      <c r="BY29" s="381"/>
      <c r="BZ29" s="381"/>
      <c r="CA29" s="207"/>
      <c r="CB29" s="207"/>
      <c r="CC29" s="381"/>
      <c r="CD29" s="381"/>
      <c r="CE29" s="381"/>
      <c r="CF29" s="381"/>
      <c r="CG29" s="381"/>
      <c r="CH29" s="381"/>
      <c r="CI29" s="381"/>
      <c r="CJ29" s="381"/>
      <c r="CK29" s="381"/>
      <c r="CL29" s="381"/>
      <c r="CM29" s="381"/>
      <c r="CN29" s="207"/>
      <c r="CO29" s="207"/>
      <c r="CP29" s="381"/>
      <c r="CQ29" s="381"/>
      <c r="CR29" s="381"/>
      <c r="CS29" s="381"/>
      <c r="CT29" s="381"/>
      <c r="CU29" s="381"/>
      <c r="CV29" s="381"/>
      <c r="CW29" s="381"/>
      <c r="CX29" s="381"/>
      <c r="CY29" s="381"/>
      <c r="CZ29" s="381"/>
      <c r="DA29" s="207"/>
      <c r="DB29" s="207"/>
      <c r="DC29" s="381"/>
      <c r="DD29" s="381"/>
      <c r="DE29" s="381"/>
      <c r="DF29" s="381"/>
      <c r="DG29" s="381"/>
      <c r="DH29" s="381"/>
      <c r="DI29" s="381"/>
      <c r="DJ29" s="381"/>
      <c r="DK29" s="381"/>
      <c r="DL29" s="381"/>
      <c r="DM29" s="381"/>
      <c r="DN29" s="207"/>
      <c r="DO29" s="207"/>
      <c r="DP29" s="381"/>
      <c r="DQ29" s="381"/>
      <c r="DR29" s="381"/>
      <c r="DS29" s="381"/>
      <c r="DT29" s="381"/>
      <c r="DU29" s="381"/>
      <c r="DV29" s="381"/>
      <c r="DW29" s="381"/>
      <c r="DX29" s="381"/>
      <c r="DY29" s="381"/>
      <c r="DZ29" s="381"/>
      <c r="EA29" s="207"/>
      <c r="EB29" s="207"/>
      <c r="EC29" s="381"/>
      <c r="ED29" s="381"/>
      <c r="EE29" s="381"/>
      <c r="EF29" s="381"/>
      <c r="EG29" s="381"/>
      <c r="EH29" s="381"/>
      <c r="EI29" s="381"/>
      <c r="EJ29" s="381"/>
      <c r="EK29" s="381"/>
      <c r="EL29" s="381"/>
      <c r="EM29" s="381"/>
      <c r="EN29" s="207"/>
      <c r="EO29" s="207"/>
      <c r="EP29" s="381"/>
      <c r="EQ29" s="381"/>
      <c r="ER29" s="381"/>
      <c r="ES29" s="381"/>
      <c r="ET29" s="381"/>
      <c r="EU29" s="381"/>
      <c r="EV29" s="381"/>
      <c r="EW29" s="381"/>
      <c r="EX29" s="381"/>
      <c r="EY29" s="381"/>
      <c r="EZ29" s="381"/>
      <c r="FA29" s="207"/>
      <c r="FB29" s="207"/>
      <c r="FC29" s="381"/>
      <c r="FD29" s="381"/>
      <c r="FE29" s="381"/>
      <c r="FF29" s="381"/>
      <c r="FG29" s="381"/>
      <c r="FH29" s="381"/>
      <c r="FI29" s="381"/>
      <c r="FJ29" s="381"/>
      <c r="FK29" s="381"/>
      <c r="FL29" s="381"/>
      <c r="FM29" s="381"/>
      <c r="FN29" s="207"/>
      <c r="FO29" s="207"/>
      <c r="FP29" s="381"/>
      <c r="FQ29" s="381"/>
      <c r="FR29" s="381"/>
      <c r="FS29" s="381"/>
      <c r="FT29" s="381"/>
      <c r="FU29" s="381"/>
      <c r="FV29" s="381"/>
      <c r="FW29" s="381"/>
      <c r="FX29" s="381"/>
      <c r="FY29" s="381"/>
      <c r="FZ29" s="381"/>
      <c r="GA29" s="207"/>
      <c r="GB29" s="207"/>
      <c r="GC29" s="381"/>
      <c r="GD29" s="381"/>
      <c r="GE29" s="381"/>
      <c r="GF29" s="381"/>
      <c r="GG29" s="381"/>
      <c r="GH29" s="381"/>
      <c r="GI29" s="381"/>
      <c r="GJ29" s="381"/>
      <c r="GK29" s="381"/>
      <c r="GL29" s="381"/>
      <c r="GM29" s="381"/>
      <c r="GN29" s="207"/>
      <c r="GO29" s="207"/>
      <c r="GP29" s="381"/>
      <c r="GQ29" s="381"/>
      <c r="GR29" s="381"/>
      <c r="GS29" s="381"/>
      <c r="GT29" s="381"/>
      <c r="GU29" s="381"/>
      <c r="GV29" s="381"/>
      <c r="GW29" s="381"/>
      <c r="GX29" s="381"/>
      <c r="GY29" s="381"/>
      <c r="GZ29" s="381"/>
      <c r="HA29" s="207"/>
      <c r="HB29" s="207"/>
      <c r="HC29" s="381"/>
      <c r="HD29" s="381"/>
      <c r="HE29" s="381"/>
      <c r="HF29" s="381"/>
      <c r="HG29" s="381"/>
      <c r="HH29" s="381"/>
      <c r="HI29" s="381"/>
      <c r="HJ29" s="381"/>
      <c r="HK29" s="381"/>
      <c r="HL29" s="381"/>
      <c r="HM29" s="381"/>
      <c r="HN29" s="207"/>
      <c r="HO29" s="207"/>
      <c r="HP29" s="381"/>
      <c r="HQ29" s="381"/>
      <c r="HR29" s="381"/>
      <c r="HS29" s="381"/>
      <c r="HT29" s="381"/>
      <c r="HU29" s="381"/>
      <c r="HV29" s="381"/>
      <c r="HW29" s="381"/>
      <c r="HX29" s="381"/>
      <c r="HY29" s="381"/>
      <c r="HZ29" s="381"/>
      <c r="IA29" s="207"/>
      <c r="IB29" s="207"/>
      <c r="IC29" s="381"/>
      <c r="ID29" s="381"/>
      <c r="IE29" s="381"/>
      <c r="IF29" s="381"/>
      <c r="IG29" s="381"/>
      <c r="IH29" s="381"/>
      <c r="II29" s="381"/>
      <c r="IJ29" s="381"/>
      <c r="IK29" s="381"/>
      <c r="IL29" s="381"/>
      <c r="IM29" s="381"/>
      <c r="IN29" s="207"/>
      <c r="IO29" s="207"/>
      <c r="IP29" s="381"/>
      <c r="IQ29" s="381"/>
      <c r="IR29" s="381"/>
      <c r="IS29" s="381"/>
      <c r="IT29" s="381"/>
      <c r="IU29" s="381"/>
      <c r="IV29" s="381"/>
    </row>
    <row r="30" spans="1:256" x14ac:dyDescent="0.2">
      <c r="A30" s="218"/>
      <c r="B30" s="219"/>
      <c r="C30" s="376"/>
      <c r="D30" s="376"/>
      <c r="E30" s="376"/>
      <c r="F30" s="376"/>
      <c r="G30" s="376"/>
      <c r="H30" s="376"/>
      <c r="I30" s="376"/>
      <c r="J30" s="376"/>
      <c r="K30" s="376"/>
      <c r="L30" s="376"/>
      <c r="M30" s="377"/>
      <c r="N30" s="211"/>
      <c r="O30" s="211"/>
      <c r="P30" s="382"/>
      <c r="Q30" s="382"/>
      <c r="R30" s="382"/>
      <c r="S30" s="382"/>
      <c r="T30" s="382"/>
      <c r="U30" s="382"/>
      <c r="V30" s="382"/>
      <c r="W30" s="382"/>
      <c r="X30" s="382"/>
      <c r="Y30" s="382"/>
      <c r="Z30" s="382"/>
      <c r="AA30" s="207"/>
      <c r="AB30" s="207"/>
      <c r="AC30" s="381"/>
      <c r="AD30" s="381"/>
      <c r="AE30" s="381"/>
      <c r="AF30" s="381"/>
      <c r="AG30" s="381"/>
      <c r="AH30" s="381"/>
      <c r="AI30" s="381"/>
      <c r="AJ30" s="381"/>
      <c r="AK30" s="381"/>
      <c r="AL30" s="381"/>
      <c r="AM30" s="381"/>
      <c r="AN30" s="207"/>
      <c r="AO30" s="207"/>
      <c r="AP30" s="381"/>
      <c r="AQ30" s="381"/>
      <c r="AR30" s="381"/>
      <c r="AS30" s="381"/>
      <c r="AT30" s="381"/>
      <c r="AU30" s="381"/>
      <c r="AV30" s="381"/>
      <c r="AW30" s="381"/>
      <c r="AX30" s="381"/>
      <c r="AY30" s="381"/>
      <c r="AZ30" s="381"/>
      <c r="BA30" s="207"/>
      <c r="BB30" s="207"/>
      <c r="BC30" s="381"/>
      <c r="BD30" s="381"/>
      <c r="BE30" s="381"/>
      <c r="BF30" s="381"/>
      <c r="BG30" s="381"/>
      <c r="BH30" s="381"/>
      <c r="BI30" s="381"/>
      <c r="BJ30" s="381"/>
      <c r="BK30" s="381"/>
      <c r="BL30" s="381"/>
      <c r="BM30" s="381"/>
      <c r="BN30" s="207"/>
      <c r="BO30" s="207"/>
      <c r="BP30" s="381"/>
      <c r="BQ30" s="381"/>
      <c r="BR30" s="381"/>
      <c r="BS30" s="381"/>
      <c r="BT30" s="381"/>
      <c r="BU30" s="381"/>
      <c r="BV30" s="381"/>
      <c r="BW30" s="381"/>
      <c r="BX30" s="381"/>
      <c r="BY30" s="381"/>
      <c r="BZ30" s="381"/>
      <c r="CA30" s="207"/>
      <c r="CB30" s="207"/>
      <c r="CC30" s="381"/>
      <c r="CD30" s="381"/>
      <c r="CE30" s="381"/>
      <c r="CF30" s="381"/>
      <c r="CG30" s="381"/>
      <c r="CH30" s="381"/>
      <c r="CI30" s="381"/>
      <c r="CJ30" s="381"/>
      <c r="CK30" s="381"/>
      <c r="CL30" s="381"/>
      <c r="CM30" s="381"/>
      <c r="CN30" s="207"/>
      <c r="CO30" s="207"/>
      <c r="CP30" s="381"/>
      <c r="CQ30" s="381"/>
      <c r="CR30" s="381"/>
      <c r="CS30" s="381"/>
      <c r="CT30" s="381"/>
      <c r="CU30" s="381"/>
      <c r="CV30" s="381"/>
      <c r="CW30" s="381"/>
      <c r="CX30" s="381"/>
      <c r="CY30" s="381"/>
      <c r="CZ30" s="381"/>
      <c r="DA30" s="207"/>
      <c r="DB30" s="207"/>
      <c r="DC30" s="381"/>
      <c r="DD30" s="381"/>
      <c r="DE30" s="381"/>
      <c r="DF30" s="381"/>
      <c r="DG30" s="381"/>
      <c r="DH30" s="381"/>
      <c r="DI30" s="381"/>
      <c r="DJ30" s="381"/>
      <c r="DK30" s="381"/>
      <c r="DL30" s="381"/>
      <c r="DM30" s="381"/>
      <c r="DN30" s="207"/>
      <c r="DO30" s="207"/>
      <c r="DP30" s="381"/>
      <c r="DQ30" s="381"/>
      <c r="DR30" s="381"/>
      <c r="DS30" s="381"/>
      <c r="DT30" s="381"/>
      <c r="DU30" s="381"/>
      <c r="DV30" s="381"/>
      <c r="DW30" s="381"/>
      <c r="DX30" s="381"/>
      <c r="DY30" s="381"/>
      <c r="DZ30" s="381"/>
      <c r="EA30" s="207"/>
      <c r="EB30" s="207"/>
      <c r="EC30" s="381"/>
      <c r="ED30" s="381"/>
      <c r="EE30" s="381"/>
      <c r="EF30" s="381"/>
      <c r="EG30" s="381"/>
      <c r="EH30" s="381"/>
      <c r="EI30" s="381"/>
      <c r="EJ30" s="381"/>
      <c r="EK30" s="381"/>
      <c r="EL30" s="381"/>
      <c r="EM30" s="381"/>
      <c r="EN30" s="207"/>
      <c r="EO30" s="207"/>
      <c r="EP30" s="381"/>
      <c r="EQ30" s="381"/>
      <c r="ER30" s="381"/>
      <c r="ES30" s="381"/>
      <c r="ET30" s="381"/>
      <c r="EU30" s="381"/>
      <c r="EV30" s="381"/>
      <c r="EW30" s="381"/>
      <c r="EX30" s="381"/>
      <c r="EY30" s="381"/>
      <c r="EZ30" s="381"/>
      <c r="FA30" s="207"/>
      <c r="FB30" s="207"/>
      <c r="FC30" s="381"/>
      <c r="FD30" s="381"/>
      <c r="FE30" s="381"/>
      <c r="FF30" s="381"/>
      <c r="FG30" s="381"/>
      <c r="FH30" s="381"/>
      <c r="FI30" s="381"/>
      <c r="FJ30" s="381"/>
      <c r="FK30" s="381"/>
      <c r="FL30" s="381"/>
      <c r="FM30" s="381"/>
      <c r="FN30" s="207"/>
      <c r="FO30" s="207"/>
      <c r="FP30" s="381"/>
      <c r="FQ30" s="381"/>
      <c r="FR30" s="381"/>
      <c r="FS30" s="381"/>
      <c r="FT30" s="381"/>
      <c r="FU30" s="381"/>
      <c r="FV30" s="381"/>
      <c r="FW30" s="381"/>
      <c r="FX30" s="381"/>
      <c r="FY30" s="381"/>
      <c r="FZ30" s="381"/>
      <c r="GA30" s="207"/>
      <c r="GB30" s="207"/>
      <c r="GC30" s="381"/>
      <c r="GD30" s="381"/>
      <c r="GE30" s="381"/>
      <c r="GF30" s="381"/>
      <c r="GG30" s="381"/>
      <c r="GH30" s="381"/>
      <c r="GI30" s="381"/>
      <c r="GJ30" s="381"/>
      <c r="GK30" s="381"/>
      <c r="GL30" s="381"/>
      <c r="GM30" s="381"/>
      <c r="GN30" s="207"/>
      <c r="GO30" s="207"/>
      <c r="GP30" s="381"/>
      <c r="GQ30" s="381"/>
      <c r="GR30" s="381"/>
      <c r="GS30" s="381"/>
      <c r="GT30" s="381"/>
      <c r="GU30" s="381"/>
      <c r="GV30" s="381"/>
      <c r="GW30" s="381"/>
      <c r="GX30" s="381"/>
      <c r="GY30" s="381"/>
      <c r="GZ30" s="381"/>
      <c r="HA30" s="207"/>
      <c r="HB30" s="207"/>
      <c r="HC30" s="381"/>
      <c r="HD30" s="381"/>
      <c r="HE30" s="381"/>
      <c r="HF30" s="381"/>
      <c r="HG30" s="381"/>
      <c r="HH30" s="381"/>
      <c r="HI30" s="381"/>
      <c r="HJ30" s="381"/>
      <c r="HK30" s="381"/>
      <c r="HL30" s="381"/>
      <c r="HM30" s="381"/>
      <c r="HN30" s="207"/>
      <c r="HO30" s="207"/>
      <c r="HP30" s="381"/>
      <c r="HQ30" s="381"/>
      <c r="HR30" s="381"/>
      <c r="HS30" s="381"/>
      <c r="HT30" s="381"/>
      <c r="HU30" s="381"/>
      <c r="HV30" s="381"/>
      <c r="HW30" s="381"/>
      <c r="HX30" s="381"/>
      <c r="HY30" s="381"/>
      <c r="HZ30" s="381"/>
      <c r="IA30" s="207"/>
      <c r="IB30" s="207"/>
      <c r="IC30" s="381"/>
      <c r="ID30" s="381"/>
      <c r="IE30" s="381"/>
      <c r="IF30" s="381"/>
      <c r="IG30" s="381"/>
      <c r="IH30" s="381"/>
      <c r="II30" s="381"/>
      <c r="IJ30" s="381"/>
      <c r="IK30" s="381"/>
      <c r="IL30" s="381"/>
      <c r="IM30" s="381"/>
      <c r="IN30" s="207"/>
      <c r="IO30" s="207"/>
      <c r="IP30" s="381"/>
      <c r="IQ30" s="381"/>
      <c r="IR30" s="381"/>
      <c r="IS30" s="381"/>
      <c r="IT30" s="381"/>
      <c r="IU30" s="381"/>
      <c r="IV30" s="381"/>
    </row>
    <row r="31" spans="1:256" x14ac:dyDescent="0.2">
      <c r="A31" s="218"/>
      <c r="B31" s="219"/>
      <c r="C31" s="376"/>
      <c r="D31" s="376"/>
      <c r="E31" s="376"/>
      <c r="F31" s="376"/>
      <c r="G31" s="376"/>
      <c r="H31" s="376"/>
      <c r="I31" s="376"/>
      <c r="J31" s="376"/>
      <c r="K31" s="376"/>
      <c r="L31" s="376"/>
      <c r="M31" s="377"/>
      <c r="N31" s="211"/>
      <c r="O31" s="211"/>
      <c r="P31" s="382"/>
      <c r="Q31" s="382"/>
      <c r="R31" s="382"/>
      <c r="S31" s="382"/>
      <c r="T31" s="382"/>
      <c r="U31" s="382"/>
      <c r="V31" s="382"/>
      <c r="W31" s="382"/>
      <c r="X31" s="382"/>
      <c r="Y31" s="382"/>
      <c r="Z31" s="382"/>
      <c r="AA31" s="207"/>
      <c r="AB31" s="207"/>
      <c r="AC31" s="381"/>
      <c r="AD31" s="381"/>
      <c r="AE31" s="381"/>
      <c r="AF31" s="381"/>
      <c r="AG31" s="381"/>
      <c r="AH31" s="381"/>
      <c r="AI31" s="381"/>
      <c r="AJ31" s="381"/>
      <c r="AK31" s="381"/>
      <c r="AL31" s="381"/>
      <c r="AM31" s="381"/>
      <c r="AN31" s="207"/>
      <c r="AO31" s="207"/>
      <c r="AP31" s="381"/>
      <c r="AQ31" s="381"/>
      <c r="AR31" s="381"/>
      <c r="AS31" s="381"/>
      <c r="AT31" s="381"/>
      <c r="AU31" s="381"/>
      <c r="AV31" s="381"/>
      <c r="AW31" s="381"/>
      <c r="AX31" s="381"/>
      <c r="AY31" s="381"/>
      <c r="AZ31" s="381"/>
      <c r="BA31" s="207"/>
      <c r="BB31" s="207"/>
      <c r="BC31" s="381"/>
      <c r="BD31" s="381"/>
      <c r="BE31" s="381"/>
      <c r="BF31" s="381"/>
      <c r="BG31" s="381"/>
      <c r="BH31" s="381"/>
      <c r="BI31" s="381"/>
      <c r="BJ31" s="381"/>
      <c r="BK31" s="381"/>
      <c r="BL31" s="381"/>
      <c r="BM31" s="381"/>
      <c r="BN31" s="207"/>
      <c r="BO31" s="207"/>
      <c r="BP31" s="381"/>
      <c r="BQ31" s="381"/>
      <c r="BR31" s="381"/>
      <c r="BS31" s="381"/>
      <c r="BT31" s="381"/>
      <c r="BU31" s="381"/>
      <c r="BV31" s="381"/>
      <c r="BW31" s="381"/>
      <c r="BX31" s="381"/>
      <c r="BY31" s="381"/>
      <c r="BZ31" s="381"/>
      <c r="CA31" s="207"/>
      <c r="CB31" s="207"/>
      <c r="CC31" s="381"/>
      <c r="CD31" s="381"/>
      <c r="CE31" s="381"/>
      <c r="CF31" s="381"/>
      <c r="CG31" s="381"/>
      <c r="CH31" s="381"/>
      <c r="CI31" s="381"/>
      <c r="CJ31" s="381"/>
      <c r="CK31" s="381"/>
      <c r="CL31" s="381"/>
      <c r="CM31" s="381"/>
      <c r="CN31" s="207"/>
      <c r="CO31" s="207"/>
      <c r="CP31" s="381"/>
      <c r="CQ31" s="381"/>
      <c r="CR31" s="381"/>
      <c r="CS31" s="381"/>
      <c r="CT31" s="381"/>
      <c r="CU31" s="381"/>
      <c r="CV31" s="381"/>
      <c r="CW31" s="381"/>
      <c r="CX31" s="381"/>
      <c r="CY31" s="381"/>
      <c r="CZ31" s="381"/>
      <c r="DA31" s="207"/>
      <c r="DB31" s="207"/>
      <c r="DC31" s="381"/>
      <c r="DD31" s="381"/>
      <c r="DE31" s="381"/>
      <c r="DF31" s="381"/>
      <c r="DG31" s="381"/>
      <c r="DH31" s="381"/>
      <c r="DI31" s="381"/>
      <c r="DJ31" s="381"/>
      <c r="DK31" s="381"/>
      <c r="DL31" s="381"/>
      <c r="DM31" s="381"/>
      <c r="DN31" s="207"/>
      <c r="DO31" s="207"/>
      <c r="DP31" s="381"/>
      <c r="DQ31" s="381"/>
      <c r="DR31" s="381"/>
      <c r="DS31" s="381"/>
      <c r="DT31" s="381"/>
      <c r="DU31" s="381"/>
      <c r="DV31" s="381"/>
      <c r="DW31" s="381"/>
      <c r="DX31" s="381"/>
      <c r="DY31" s="381"/>
      <c r="DZ31" s="381"/>
      <c r="EA31" s="207"/>
      <c r="EB31" s="207"/>
      <c r="EC31" s="381"/>
      <c r="ED31" s="381"/>
      <c r="EE31" s="381"/>
      <c r="EF31" s="381"/>
      <c r="EG31" s="381"/>
      <c r="EH31" s="381"/>
      <c r="EI31" s="381"/>
      <c r="EJ31" s="381"/>
      <c r="EK31" s="381"/>
      <c r="EL31" s="381"/>
      <c r="EM31" s="381"/>
      <c r="EN31" s="207"/>
      <c r="EO31" s="207"/>
      <c r="EP31" s="381"/>
      <c r="EQ31" s="381"/>
      <c r="ER31" s="381"/>
      <c r="ES31" s="381"/>
      <c r="ET31" s="381"/>
      <c r="EU31" s="381"/>
      <c r="EV31" s="381"/>
      <c r="EW31" s="381"/>
      <c r="EX31" s="381"/>
      <c r="EY31" s="381"/>
      <c r="EZ31" s="381"/>
      <c r="FA31" s="207"/>
      <c r="FB31" s="207"/>
      <c r="FC31" s="381"/>
      <c r="FD31" s="381"/>
      <c r="FE31" s="381"/>
      <c r="FF31" s="381"/>
      <c r="FG31" s="381"/>
      <c r="FH31" s="381"/>
      <c r="FI31" s="381"/>
      <c r="FJ31" s="381"/>
      <c r="FK31" s="381"/>
      <c r="FL31" s="381"/>
      <c r="FM31" s="381"/>
      <c r="FN31" s="207"/>
      <c r="FO31" s="207"/>
      <c r="FP31" s="381"/>
      <c r="FQ31" s="381"/>
      <c r="FR31" s="381"/>
      <c r="FS31" s="381"/>
      <c r="FT31" s="381"/>
      <c r="FU31" s="381"/>
      <c r="FV31" s="381"/>
      <c r="FW31" s="381"/>
      <c r="FX31" s="381"/>
      <c r="FY31" s="381"/>
      <c r="FZ31" s="381"/>
      <c r="GA31" s="207"/>
      <c r="GB31" s="207"/>
      <c r="GC31" s="381"/>
      <c r="GD31" s="381"/>
      <c r="GE31" s="381"/>
      <c r="GF31" s="381"/>
      <c r="GG31" s="381"/>
      <c r="GH31" s="381"/>
      <c r="GI31" s="381"/>
      <c r="GJ31" s="381"/>
      <c r="GK31" s="381"/>
      <c r="GL31" s="381"/>
      <c r="GM31" s="381"/>
      <c r="GN31" s="207"/>
      <c r="GO31" s="207"/>
      <c r="GP31" s="381"/>
      <c r="GQ31" s="381"/>
      <c r="GR31" s="381"/>
      <c r="GS31" s="381"/>
      <c r="GT31" s="381"/>
      <c r="GU31" s="381"/>
      <c r="GV31" s="381"/>
      <c r="GW31" s="381"/>
      <c r="GX31" s="381"/>
      <c r="GY31" s="381"/>
      <c r="GZ31" s="381"/>
      <c r="HA31" s="207"/>
      <c r="HB31" s="207"/>
      <c r="HC31" s="381"/>
      <c r="HD31" s="381"/>
      <c r="HE31" s="381"/>
      <c r="HF31" s="381"/>
      <c r="HG31" s="381"/>
      <c r="HH31" s="381"/>
      <c r="HI31" s="381"/>
      <c r="HJ31" s="381"/>
      <c r="HK31" s="381"/>
      <c r="HL31" s="381"/>
      <c r="HM31" s="381"/>
      <c r="HN31" s="207"/>
      <c r="HO31" s="207"/>
      <c r="HP31" s="381"/>
      <c r="HQ31" s="381"/>
      <c r="HR31" s="381"/>
      <c r="HS31" s="381"/>
      <c r="HT31" s="381"/>
      <c r="HU31" s="381"/>
      <c r="HV31" s="381"/>
      <c r="HW31" s="381"/>
      <c r="HX31" s="381"/>
      <c r="HY31" s="381"/>
      <c r="HZ31" s="381"/>
      <c r="IA31" s="207"/>
      <c r="IB31" s="207"/>
      <c r="IC31" s="381"/>
      <c r="ID31" s="381"/>
      <c r="IE31" s="381"/>
      <c r="IF31" s="381"/>
      <c r="IG31" s="381"/>
      <c r="IH31" s="381"/>
      <c r="II31" s="381"/>
      <c r="IJ31" s="381"/>
      <c r="IK31" s="381"/>
      <c r="IL31" s="381"/>
      <c r="IM31" s="381"/>
      <c r="IN31" s="207"/>
      <c r="IO31" s="207"/>
      <c r="IP31" s="381"/>
      <c r="IQ31" s="381"/>
      <c r="IR31" s="381"/>
      <c r="IS31" s="381"/>
      <c r="IT31" s="381"/>
      <c r="IU31" s="381"/>
      <c r="IV31" s="381"/>
    </row>
    <row r="32" spans="1:256" x14ac:dyDescent="0.2">
      <c r="A32" s="218"/>
      <c r="B32" s="219"/>
      <c r="C32" s="376"/>
      <c r="D32" s="376"/>
      <c r="E32" s="376"/>
      <c r="F32" s="376"/>
      <c r="G32" s="376"/>
      <c r="H32" s="376"/>
      <c r="I32" s="376"/>
      <c r="J32" s="376"/>
      <c r="K32" s="376"/>
      <c r="L32" s="376"/>
      <c r="M32" s="377"/>
      <c r="N32" s="223"/>
      <c r="O32" s="223"/>
      <c r="P32" s="383"/>
      <c r="Q32" s="383"/>
      <c r="R32" s="383"/>
      <c r="S32" s="383"/>
      <c r="T32" s="383"/>
      <c r="U32" s="383"/>
      <c r="V32" s="383"/>
      <c r="W32" s="383"/>
      <c r="X32" s="383"/>
      <c r="Y32" s="383"/>
      <c r="Z32" s="384"/>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82"/>
      <c r="Q38" s="382"/>
      <c r="R38" s="382"/>
      <c r="S38" s="382"/>
      <c r="T38" s="382"/>
      <c r="U38" s="382"/>
      <c r="V38" s="382"/>
      <c r="W38" s="382"/>
      <c r="X38" s="382"/>
      <c r="Y38" s="382"/>
      <c r="Z38" s="382"/>
      <c r="AA38" s="207"/>
      <c r="AB38" s="207"/>
      <c r="AC38" s="381"/>
      <c r="AD38" s="381"/>
      <c r="AE38" s="381"/>
      <c r="AF38" s="381"/>
      <c r="AG38" s="381"/>
      <c r="AH38" s="381"/>
      <c r="AI38" s="381"/>
      <c r="AJ38" s="381"/>
      <c r="AK38" s="381"/>
      <c r="AL38" s="381"/>
      <c r="AM38" s="381"/>
      <c r="AN38" s="207"/>
      <c r="AO38" s="207"/>
      <c r="AP38" s="381"/>
      <c r="AQ38" s="381"/>
      <c r="AR38" s="381"/>
      <c r="AS38" s="381"/>
      <c r="AT38" s="381"/>
      <c r="AU38" s="381"/>
      <c r="AV38" s="381"/>
      <c r="AW38" s="381"/>
      <c r="AX38" s="381"/>
      <c r="AY38" s="381"/>
      <c r="AZ38" s="381"/>
      <c r="BA38" s="207"/>
      <c r="BB38" s="207"/>
      <c r="BC38" s="381"/>
      <c r="BD38" s="381"/>
      <c r="BE38" s="381"/>
      <c r="BF38" s="381"/>
      <c r="BG38" s="381"/>
      <c r="BH38" s="381"/>
      <c r="BI38" s="381"/>
      <c r="BJ38" s="381"/>
      <c r="BK38" s="381"/>
      <c r="BL38" s="381"/>
      <c r="BM38" s="381"/>
      <c r="BN38" s="207"/>
      <c r="BO38" s="207"/>
      <c r="BP38" s="381"/>
      <c r="BQ38" s="381"/>
      <c r="BR38" s="381"/>
      <c r="BS38" s="381"/>
      <c r="BT38" s="381"/>
      <c r="BU38" s="381"/>
      <c r="BV38" s="381"/>
      <c r="BW38" s="381"/>
      <c r="BX38" s="381"/>
      <c r="BY38" s="381"/>
      <c r="BZ38" s="381"/>
      <c r="CA38" s="207"/>
      <c r="CB38" s="207"/>
      <c r="CC38" s="381"/>
      <c r="CD38" s="381"/>
      <c r="CE38" s="381"/>
      <c r="CF38" s="381"/>
      <c r="CG38" s="381"/>
      <c r="CH38" s="381"/>
      <c r="CI38" s="381"/>
      <c r="CJ38" s="381"/>
      <c r="CK38" s="381"/>
      <c r="CL38" s="381"/>
      <c r="CM38" s="381"/>
      <c r="CN38" s="207"/>
      <c r="CO38" s="207"/>
      <c r="CP38" s="381"/>
      <c r="CQ38" s="381"/>
      <c r="CR38" s="381"/>
      <c r="CS38" s="381"/>
      <c r="CT38" s="381"/>
      <c r="CU38" s="381"/>
      <c r="CV38" s="381"/>
      <c r="CW38" s="381"/>
      <c r="CX38" s="381"/>
      <c r="CY38" s="381"/>
      <c r="CZ38" s="381"/>
      <c r="DA38" s="207"/>
      <c r="DB38" s="207"/>
      <c r="DC38" s="381"/>
      <c r="DD38" s="381"/>
      <c r="DE38" s="381"/>
      <c r="DF38" s="381"/>
      <c r="DG38" s="381"/>
      <c r="DH38" s="381"/>
      <c r="DI38" s="381"/>
      <c r="DJ38" s="381"/>
      <c r="DK38" s="381"/>
      <c r="DL38" s="381"/>
      <c r="DM38" s="381"/>
      <c r="DN38" s="207"/>
      <c r="DO38" s="207"/>
      <c r="DP38" s="381"/>
      <c r="DQ38" s="381"/>
      <c r="DR38" s="381"/>
      <c r="DS38" s="381"/>
      <c r="DT38" s="381"/>
      <c r="DU38" s="381"/>
      <c r="DV38" s="381"/>
      <c r="DW38" s="381"/>
      <c r="DX38" s="381"/>
      <c r="DY38" s="381"/>
      <c r="DZ38" s="381"/>
      <c r="EA38" s="207"/>
      <c r="EB38" s="207"/>
      <c r="EC38" s="381"/>
      <c r="ED38" s="381"/>
      <c r="EE38" s="381"/>
      <c r="EF38" s="381"/>
      <c r="EG38" s="381"/>
      <c r="EH38" s="381"/>
      <c r="EI38" s="381"/>
      <c r="EJ38" s="381"/>
      <c r="EK38" s="381"/>
      <c r="EL38" s="381"/>
      <c r="EM38" s="381"/>
      <c r="EN38" s="207"/>
      <c r="EO38" s="207"/>
      <c r="EP38" s="381"/>
      <c r="EQ38" s="381"/>
      <c r="ER38" s="381"/>
      <c r="ES38" s="381"/>
      <c r="ET38" s="381"/>
      <c r="EU38" s="381"/>
      <c r="EV38" s="381"/>
      <c r="EW38" s="381"/>
      <c r="EX38" s="381"/>
      <c r="EY38" s="381"/>
      <c r="EZ38" s="381"/>
      <c r="FA38" s="207"/>
      <c r="FB38" s="207"/>
      <c r="FC38" s="381"/>
      <c r="FD38" s="381"/>
      <c r="FE38" s="381"/>
      <c r="FF38" s="381"/>
      <c r="FG38" s="381"/>
      <c r="FH38" s="381"/>
      <c r="FI38" s="381"/>
      <c r="FJ38" s="381"/>
      <c r="FK38" s="381"/>
      <c r="FL38" s="381"/>
      <c r="FM38" s="381"/>
      <c r="FN38" s="207"/>
      <c r="FO38" s="207"/>
      <c r="FP38" s="381"/>
      <c r="FQ38" s="381"/>
      <c r="FR38" s="381"/>
      <c r="FS38" s="381"/>
      <c r="FT38" s="381"/>
      <c r="FU38" s="381"/>
      <c r="FV38" s="381"/>
      <c r="FW38" s="381"/>
      <c r="FX38" s="381"/>
      <c r="FY38" s="381"/>
      <c r="FZ38" s="381"/>
      <c r="GA38" s="207"/>
      <c r="GB38" s="207"/>
      <c r="GC38" s="381"/>
      <c r="GD38" s="381"/>
      <c r="GE38" s="381"/>
      <c r="GF38" s="381"/>
      <c r="GG38" s="381"/>
      <c r="GH38" s="381"/>
      <c r="GI38" s="381"/>
      <c r="GJ38" s="381"/>
      <c r="GK38" s="381"/>
      <c r="GL38" s="381"/>
      <c r="GM38" s="381"/>
      <c r="GN38" s="207"/>
      <c r="GO38" s="207"/>
      <c r="GP38" s="381"/>
      <c r="GQ38" s="381"/>
      <c r="GR38" s="381"/>
      <c r="GS38" s="381"/>
      <c r="GT38" s="381"/>
      <c r="GU38" s="381"/>
      <c r="GV38" s="381"/>
      <c r="GW38" s="381"/>
      <c r="GX38" s="381"/>
      <c r="GY38" s="381"/>
      <c r="GZ38" s="381"/>
      <c r="HA38" s="207"/>
      <c r="HB38" s="207"/>
      <c r="HC38" s="381"/>
      <c r="HD38" s="381"/>
      <c r="HE38" s="381"/>
      <c r="HF38" s="381"/>
      <c r="HG38" s="381"/>
      <c r="HH38" s="381"/>
      <c r="HI38" s="381"/>
      <c r="HJ38" s="381"/>
      <c r="HK38" s="381"/>
      <c r="HL38" s="381"/>
      <c r="HM38" s="381"/>
      <c r="HN38" s="207"/>
      <c r="HO38" s="207"/>
      <c r="HP38" s="381"/>
      <c r="HQ38" s="381"/>
      <c r="HR38" s="381"/>
      <c r="HS38" s="381"/>
      <c r="HT38" s="381"/>
      <c r="HU38" s="381"/>
      <c r="HV38" s="381"/>
      <c r="HW38" s="381"/>
      <c r="HX38" s="381"/>
      <c r="HY38" s="381"/>
      <c r="HZ38" s="381"/>
      <c r="IA38" s="207"/>
      <c r="IB38" s="207"/>
      <c r="IC38" s="381"/>
      <c r="ID38" s="381"/>
      <c r="IE38" s="381"/>
      <c r="IF38" s="381"/>
      <c r="IG38" s="381"/>
      <c r="IH38" s="381"/>
      <c r="II38" s="381"/>
      <c r="IJ38" s="381"/>
      <c r="IK38" s="381"/>
      <c r="IL38" s="381"/>
      <c r="IM38" s="381"/>
      <c r="IN38" s="207"/>
      <c r="IO38" s="207"/>
      <c r="IP38" s="381"/>
      <c r="IQ38" s="381"/>
      <c r="IR38" s="381"/>
      <c r="IS38" s="381"/>
      <c r="IT38" s="381"/>
      <c r="IU38" s="381"/>
      <c r="IV38" s="381"/>
    </row>
    <row r="39" spans="1:256" x14ac:dyDescent="0.2">
      <c r="A39" s="218"/>
      <c r="B39" s="219"/>
      <c r="C39" s="376"/>
      <c r="D39" s="376"/>
      <c r="E39" s="376"/>
      <c r="F39" s="376"/>
      <c r="G39" s="376"/>
      <c r="H39" s="376"/>
      <c r="I39" s="376"/>
      <c r="J39" s="376"/>
      <c r="K39" s="376"/>
      <c r="L39" s="376"/>
      <c r="M39" s="377"/>
      <c r="N39" s="211"/>
      <c r="O39" s="211"/>
      <c r="P39" s="382"/>
      <c r="Q39" s="382"/>
      <c r="R39" s="382"/>
      <c r="S39" s="382"/>
      <c r="T39" s="382"/>
      <c r="U39" s="382"/>
      <c r="V39" s="382"/>
      <c r="W39" s="382"/>
      <c r="X39" s="382"/>
      <c r="Y39" s="382"/>
      <c r="Z39" s="382"/>
      <c r="AA39" s="207"/>
      <c r="AB39" s="207"/>
      <c r="AC39" s="381"/>
      <c r="AD39" s="381"/>
      <c r="AE39" s="381"/>
      <c r="AF39" s="381"/>
      <c r="AG39" s="381"/>
      <c r="AH39" s="381"/>
      <c r="AI39" s="381"/>
      <c r="AJ39" s="381"/>
      <c r="AK39" s="381"/>
      <c r="AL39" s="381"/>
      <c r="AM39" s="381"/>
      <c r="AN39" s="207"/>
      <c r="AO39" s="207"/>
      <c r="AP39" s="381"/>
      <c r="AQ39" s="381"/>
      <c r="AR39" s="381"/>
      <c r="AS39" s="381"/>
      <c r="AT39" s="381"/>
      <c r="AU39" s="381"/>
      <c r="AV39" s="381"/>
      <c r="AW39" s="381"/>
      <c r="AX39" s="381"/>
      <c r="AY39" s="381"/>
      <c r="AZ39" s="381"/>
      <c r="BA39" s="207"/>
      <c r="BB39" s="207"/>
      <c r="BC39" s="381"/>
      <c r="BD39" s="381"/>
      <c r="BE39" s="381"/>
      <c r="BF39" s="381"/>
      <c r="BG39" s="381"/>
      <c r="BH39" s="381"/>
      <c r="BI39" s="381"/>
      <c r="BJ39" s="381"/>
      <c r="BK39" s="381"/>
      <c r="BL39" s="381"/>
      <c r="BM39" s="381"/>
      <c r="BN39" s="207"/>
      <c r="BO39" s="207"/>
      <c r="BP39" s="381"/>
      <c r="BQ39" s="381"/>
      <c r="BR39" s="381"/>
      <c r="BS39" s="381"/>
      <c r="BT39" s="381"/>
      <c r="BU39" s="381"/>
      <c r="BV39" s="381"/>
      <c r="BW39" s="381"/>
      <c r="BX39" s="381"/>
      <c r="BY39" s="381"/>
      <c r="BZ39" s="381"/>
      <c r="CA39" s="207"/>
      <c r="CB39" s="207"/>
      <c r="CC39" s="381"/>
      <c r="CD39" s="381"/>
      <c r="CE39" s="381"/>
      <c r="CF39" s="381"/>
      <c r="CG39" s="381"/>
      <c r="CH39" s="381"/>
      <c r="CI39" s="381"/>
      <c r="CJ39" s="381"/>
      <c r="CK39" s="381"/>
      <c r="CL39" s="381"/>
      <c r="CM39" s="381"/>
      <c r="CN39" s="207"/>
      <c r="CO39" s="207"/>
      <c r="CP39" s="381"/>
      <c r="CQ39" s="381"/>
      <c r="CR39" s="381"/>
      <c r="CS39" s="381"/>
      <c r="CT39" s="381"/>
      <c r="CU39" s="381"/>
      <c r="CV39" s="381"/>
      <c r="CW39" s="381"/>
      <c r="CX39" s="381"/>
      <c r="CY39" s="381"/>
      <c r="CZ39" s="381"/>
      <c r="DA39" s="207"/>
      <c r="DB39" s="207"/>
      <c r="DC39" s="381"/>
      <c r="DD39" s="381"/>
      <c r="DE39" s="381"/>
      <c r="DF39" s="381"/>
      <c r="DG39" s="381"/>
      <c r="DH39" s="381"/>
      <c r="DI39" s="381"/>
      <c r="DJ39" s="381"/>
      <c r="DK39" s="381"/>
      <c r="DL39" s="381"/>
      <c r="DM39" s="381"/>
      <c r="DN39" s="207"/>
      <c r="DO39" s="207"/>
      <c r="DP39" s="381"/>
      <c r="DQ39" s="381"/>
      <c r="DR39" s="381"/>
      <c r="DS39" s="381"/>
      <c r="DT39" s="381"/>
      <c r="DU39" s="381"/>
      <c r="DV39" s="381"/>
      <c r="DW39" s="381"/>
      <c r="DX39" s="381"/>
      <c r="DY39" s="381"/>
      <c r="DZ39" s="381"/>
      <c r="EA39" s="207"/>
      <c r="EB39" s="207"/>
      <c r="EC39" s="381"/>
      <c r="ED39" s="381"/>
      <c r="EE39" s="381"/>
      <c r="EF39" s="381"/>
      <c r="EG39" s="381"/>
      <c r="EH39" s="381"/>
      <c r="EI39" s="381"/>
      <c r="EJ39" s="381"/>
      <c r="EK39" s="381"/>
      <c r="EL39" s="381"/>
      <c r="EM39" s="381"/>
      <c r="EN39" s="207"/>
      <c r="EO39" s="207"/>
      <c r="EP39" s="381"/>
      <c r="EQ39" s="381"/>
      <c r="ER39" s="381"/>
      <c r="ES39" s="381"/>
      <c r="ET39" s="381"/>
      <c r="EU39" s="381"/>
      <c r="EV39" s="381"/>
      <c r="EW39" s="381"/>
      <c r="EX39" s="381"/>
      <c r="EY39" s="381"/>
      <c r="EZ39" s="381"/>
      <c r="FA39" s="207"/>
      <c r="FB39" s="207"/>
      <c r="FC39" s="381"/>
      <c r="FD39" s="381"/>
      <c r="FE39" s="381"/>
      <c r="FF39" s="381"/>
      <c r="FG39" s="381"/>
      <c r="FH39" s="381"/>
      <c r="FI39" s="381"/>
      <c r="FJ39" s="381"/>
      <c r="FK39" s="381"/>
      <c r="FL39" s="381"/>
      <c r="FM39" s="381"/>
      <c r="FN39" s="207"/>
      <c r="FO39" s="207"/>
      <c r="FP39" s="381"/>
      <c r="FQ39" s="381"/>
      <c r="FR39" s="381"/>
      <c r="FS39" s="381"/>
      <c r="FT39" s="381"/>
      <c r="FU39" s="381"/>
      <c r="FV39" s="381"/>
      <c r="FW39" s="381"/>
      <c r="FX39" s="381"/>
      <c r="FY39" s="381"/>
      <c r="FZ39" s="381"/>
      <c r="GA39" s="207"/>
      <c r="GB39" s="207"/>
      <c r="GC39" s="381"/>
      <c r="GD39" s="381"/>
      <c r="GE39" s="381"/>
      <c r="GF39" s="381"/>
      <c r="GG39" s="381"/>
      <c r="GH39" s="381"/>
      <c r="GI39" s="381"/>
      <c r="GJ39" s="381"/>
      <c r="GK39" s="381"/>
      <c r="GL39" s="381"/>
      <c r="GM39" s="381"/>
      <c r="GN39" s="207"/>
      <c r="GO39" s="207"/>
      <c r="GP39" s="381"/>
      <c r="GQ39" s="381"/>
      <c r="GR39" s="381"/>
      <c r="GS39" s="381"/>
      <c r="GT39" s="381"/>
      <c r="GU39" s="381"/>
      <c r="GV39" s="381"/>
      <c r="GW39" s="381"/>
      <c r="GX39" s="381"/>
      <c r="GY39" s="381"/>
      <c r="GZ39" s="381"/>
      <c r="HA39" s="207"/>
      <c r="HB39" s="207"/>
      <c r="HC39" s="381"/>
      <c r="HD39" s="381"/>
      <c r="HE39" s="381"/>
      <c r="HF39" s="381"/>
      <c r="HG39" s="381"/>
      <c r="HH39" s="381"/>
      <c r="HI39" s="381"/>
      <c r="HJ39" s="381"/>
      <c r="HK39" s="381"/>
      <c r="HL39" s="381"/>
      <c r="HM39" s="381"/>
      <c r="HN39" s="207"/>
      <c r="HO39" s="207"/>
      <c r="HP39" s="381"/>
      <c r="HQ39" s="381"/>
      <c r="HR39" s="381"/>
      <c r="HS39" s="381"/>
      <c r="HT39" s="381"/>
      <c r="HU39" s="381"/>
      <c r="HV39" s="381"/>
      <c r="HW39" s="381"/>
      <c r="HX39" s="381"/>
      <c r="HY39" s="381"/>
      <c r="HZ39" s="381"/>
      <c r="IA39" s="207"/>
      <c r="IB39" s="207"/>
      <c r="IC39" s="381"/>
      <c r="ID39" s="381"/>
      <c r="IE39" s="381"/>
      <c r="IF39" s="381"/>
      <c r="IG39" s="381"/>
      <c r="IH39" s="381"/>
      <c r="II39" s="381"/>
      <c r="IJ39" s="381"/>
      <c r="IK39" s="381"/>
      <c r="IL39" s="381"/>
      <c r="IM39" s="381"/>
      <c r="IN39" s="207"/>
      <c r="IO39" s="207"/>
      <c r="IP39" s="381"/>
      <c r="IQ39" s="381"/>
      <c r="IR39" s="381"/>
      <c r="IS39" s="381"/>
      <c r="IT39" s="381"/>
      <c r="IU39" s="381"/>
      <c r="IV39" s="381"/>
    </row>
    <row r="40" spans="1:256" x14ac:dyDescent="0.2">
      <c r="A40" s="218"/>
      <c r="B40" s="219"/>
      <c r="C40" s="376"/>
      <c r="D40" s="376"/>
      <c r="E40" s="376"/>
      <c r="F40" s="376"/>
      <c r="G40" s="376"/>
      <c r="H40" s="376"/>
      <c r="I40" s="376"/>
      <c r="J40" s="376"/>
      <c r="K40" s="376"/>
      <c r="L40" s="376"/>
      <c r="M40" s="377"/>
      <c r="N40" s="211"/>
      <c r="O40" s="211"/>
      <c r="P40" s="382"/>
      <c r="Q40" s="382"/>
      <c r="R40" s="382"/>
      <c r="S40" s="382"/>
      <c r="T40" s="382"/>
      <c r="U40" s="382"/>
      <c r="V40" s="382"/>
      <c r="W40" s="382"/>
      <c r="X40" s="382"/>
      <c r="Y40" s="382"/>
      <c r="Z40" s="382"/>
      <c r="AA40" s="207"/>
      <c r="AB40" s="207"/>
      <c r="AC40" s="381"/>
      <c r="AD40" s="381"/>
      <c r="AE40" s="381"/>
      <c r="AF40" s="381"/>
      <c r="AG40" s="381"/>
      <c r="AH40" s="381"/>
      <c r="AI40" s="381"/>
      <c r="AJ40" s="381"/>
      <c r="AK40" s="381"/>
      <c r="AL40" s="381"/>
      <c r="AM40" s="381"/>
      <c r="AN40" s="207"/>
      <c r="AO40" s="207"/>
      <c r="AP40" s="381"/>
      <c r="AQ40" s="381"/>
      <c r="AR40" s="381"/>
      <c r="AS40" s="381"/>
      <c r="AT40" s="381"/>
      <c r="AU40" s="381"/>
      <c r="AV40" s="381"/>
      <c r="AW40" s="381"/>
      <c r="AX40" s="381"/>
      <c r="AY40" s="381"/>
      <c r="AZ40" s="381"/>
      <c r="BA40" s="207"/>
      <c r="BB40" s="207"/>
      <c r="BC40" s="381"/>
      <c r="BD40" s="381"/>
      <c r="BE40" s="381"/>
      <c r="BF40" s="381"/>
      <c r="BG40" s="381"/>
      <c r="BH40" s="381"/>
      <c r="BI40" s="381"/>
      <c r="BJ40" s="381"/>
      <c r="BK40" s="381"/>
      <c r="BL40" s="381"/>
      <c r="BM40" s="381"/>
      <c r="BN40" s="207"/>
      <c r="BO40" s="207"/>
      <c r="BP40" s="381"/>
      <c r="BQ40" s="381"/>
      <c r="BR40" s="381"/>
      <c r="BS40" s="381"/>
      <c r="BT40" s="381"/>
      <c r="BU40" s="381"/>
      <c r="BV40" s="381"/>
      <c r="BW40" s="381"/>
      <c r="BX40" s="381"/>
      <c r="BY40" s="381"/>
      <c r="BZ40" s="381"/>
      <c r="CA40" s="207"/>
      <c r="CB40" s="207"/>
      <c r="CC40" s="381"/>
      <c r="CD40" s="381"/>
      <c r="CE40" s="381"/>
      <c r="CF40" s="381"/>
      <c r="CG40" s="381"/>
      <c r="CH40" s="381"/>
      <c r="CI40" s="381"/>
      <c r="CJ40" s="381"/>
      <c r="CK40" s="381"/>
      <c r="CL40" s="381"/>
      <c r="CM40" s="381"/>
      <c r="CN40" s="207"/>
      <c r="CO40" s="207"/>
      <c r="CP40" s="381"/>
      <c r="CQ40" s="381"/>
      <c r="CR40" s="381"/>
      <c r="CS40" s="381"/>
      <c r="CT40" s="381"/>
      <c r="CU40" s="381"/>
      <c r="CV40" s="381"/>
      <c r="CW40" s="381"/>
      <c r="CX40" s="381"/>
      <c r="CY40" s="381"/>
      <c r="CZ40" s="381"/>
      <c r="DA40" s="207"/>
      <c r="DB40" s="207"/>
      <c r="DC40" s="381"/>
      <c r="DD40" s="381"/>
      <c r="DE40" s="381"/>
      <c r="DF40" s="381"/>
      <c r="DG40" s="381"/>
      <c r="DH40" s="381"/>
      <c r="DI40" s="381"/>
      <c r="DJ40" s="381"/>
      <c r="DK40" s="381"/>
      <c r="DL40" s="381"/>
      <c r="DM40" s="381"/>
      <c r="DN40" s="207"/>
      <c r="DO40" s="207"/>
      <c r="DP40" s="381"/>
      <c r="DQ40" s="381"/>
      <c r="DR40" s="381"/>
      <c r="DS40" s="381"/>
      <c r="DT40" s="381"/>
      <c r="DU40" s="381"/>
      <c r="DV40" s="381"/>
      <c r="DW40" s="381"/>
      <c r="DX40" s="381"/>
      <c r="DY40" s="381"/>
      <c r="DZ40" s="381"/>
      <c r="EA40" s="207"/>
      <c r="EB40" s="207"/>
      <c r="EC40" s="381"/>
      <c r="ED40" s="381"/>
      <c r="EE40" s="381"/>
      <c r="EF40" s="381"/>
      <c r="EG40" s="381"/>
      <c r="EH40" s="381"/>
      <c r="EI40" s="381"/>
      <c r="EJ40" s="381"/>
      <c r="EK40" s="381"/>
      <c r="EL40" s="381"/>
      <c r="EM40" s="381"/>
      <c r="EN40" s="207"/>
      <c r="EO40" s="207"/>
      <c r="EP40" s="381"/>
      <c r="EQ40" s="381"/>
      <c r="ER40" s="381"/>
      <c r="ES40" s="381"/>
      <c r="ET40" s="381"/>
      <c r="EU40" s="381"/>
      <c r="EV40" s="381"/>
      <c r="EW40" s="381"/>
      <c r="EX40" s="381"/>
      <c r="EY40" s="381"/>
      <c r="EZ40" s="381"/>
      <c r="FA40" s="207"/>
      <c r="FB40" s="207"/>
      <c r="FC40" s="381"/>
      <c r="FD40" s="381"/>
      <c r="FE40" s="381"/>
      <c r="FF40" s="381"/>
      <c r="FG40" s="381"/>
      <c r="FH40" s="381"/>
      <c r="FI40" s="381"/>
      <c r="FJ40" s="381"/>
      <c r="FK40" s="381"/>
      <c r="FL40" s="381"/>
      <c r="FM40" s="381"/>
      <c r="FN40" s="207"/>
      <c r="FO40" s="207"/>
      <c r="FP40" s="381"/>
      <c r="FQ40" s="381"/>
      <c r="FR40" s="381"/>
      <c r="FS40" s="381"/>
      <c r="FT40" s="381"/>
      <c r="FU40" s="381"/>
      <c r="FV40" s="381"/>
      <c r="FW40" s="381"/>
      <c r="FX40" s="381"/>
      <c r="FY40" s="381"/>
      <c r="FZ40" s="381"/>
      <c r="GA40" s="207"/>
      <c r="GB40" s="207"/>
      <c r="GC40" s="381"/>
      <c r="GD40" s="381"/>
      <c r="GE40" s="381"/>
      <c r="GF40" s="381"/>
      <c r="GG40" s="381"/>
      <c r="GH40" s="381"/>
      <c r="GI40" s="381"/>
      <c r="GJ40" s="381"/>
      <c r="GK40" s="381"/>
      <c r="GL40" s="381"/>
      <c r="GM40" s="381"/>
      <c r="GN40" s="207"/>
      <c r="GO40" s="207"/>
      <c r="GP40" s="381"/>
      <c r="GQ40" s="381"/>
      <c r="GR40" s="381"/>
      <c r="GS40" s="381"/>
      <c r="GT40" s="381"/>
      <c r="GU40" s="381"/>
      <c r="GV40" s="381"/>
      <c r="GW40" s="381"/>
      <c r="GX40" s="381"/>
      <c r="GY40" s="381"/>
      <c r="GZ40" s="381"/>
      <c r="HA40" s="207"/>
      <c r="HB40" s="207"/>
      <c r="HC40" s="381"/>
      <c r="HD40" s="381"/>
      <c r="HE40" s="381"/>
      <c r="HF40" s="381"/>
      <c r="HG40" s="381"/>
      <c r="HH40" s="381"/>
      <c r="HI40" s="381"/>
      <c r="HJ40" s="381"/>
      <c r="HK40" s="381"/>
      <c r="HL40" s="381"/>
      <c r="HM40" s="381"/>
      <c r="HN40" s="207"/>
      <c r="HO40" s="207"/>
      <c r="HP40" s="381"/>
      <c r="HQ40" s="381"/>
      <c r="HR40" s="381"/>
      <c r="HS40" s="381"/>
      <c r="HT40" s="381"/>
      <c r="HU40" s="381"/>
      <c r="HV40" s="381"/>
      <c r="HW40" s="381"/>
      <c r="HX40" s="381"/>
      <c r="HY40" s="381"/>
      <c r="HZ40" s="381"/>
      <c r="IA40" s="207"/>
      <c r="IB40" s="207"/>
      <c r="IC40" s="381"/>
      <c r="ID40" s="381"/>
      <c r="IE40" s="381"/>
      <c r="IF40" s="381"/>
      <c r="IG40" s="381"/>
      <c r="IH40" s="381"/>
      <c r="II40" s="381"/>
      <c r="IJ40" s="381"/>
      <c r="IK40" s="381"/>
      <c r="IL40" s="381"/>
      <c r="IM40" s="381"/>
      <c r="IN40" s="207"/>
      <c r="IO40" s="207"/>
      <c r="IP40" s="381"/>
      <c r="IQ40" s="381"/>
      <c r="IR40" s="381"/>
      <c r="IS40" s="381"/>
      <c r="IT40" s="381"/>
      <c r="IU40" s="381"/>
      <c r="IV40" s="381"/>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78"/>
      <c r="D70" s="378"/>
      <c r="E70" s="378"/>
      <c r="F70" s="378"/>
      <c r="G70" s="378"/>
      <c r="H70" s="378"/>
      <c r="I70" s="378"/>
      <c r="J70" s="378"/>
      <c r="K70" s="378"/>
      <c r="L70" s="378"/>
      <c r="M70" s="379"/>
    </row>
    <row r="71" spans="1:13" ht="12" thickTop="1" x14ac:dyDescent="0.2">
      <c r="A71" s="208"/>
      <c r="B71" s="208"/>
      <c r="C71" s="209"/>
      <c r="D71" s="209"/>
      <c r="E71" s="209"/>
      <c r="F71" s="209"/>
      <c r="G71" s="209"/>
      <c r="H71" s="209"/>
      <c r="I71" s="209"/>
      <c r="J71" s="209"/>
      <c r="K71" s="209"/>
      <c r="L71" s="209"/>
    </row>
    <row r="72" spans="1:13" ht="12.75" x14ac:dyDescent="0.2">
      <c r="A72" s="380" t="s">
        <v>832</v>
      </c>
      <c r="B72" s="380"/>
      <c r="C72" s="380"/>
      <c r="D72" s="380"/>
      <c r="E72" s="380"/>
      <c r="F72" s="126"/>
      <c r="G72" s="126"/>
      <c r="H72" s="126"/>
      <c r="I72" s="126"/>
      <c r="J72" s="126"/>
      <c r="K72" s="126"/>
      <c r="L72" s="126"/>
      <c r="M72" s="126"/>
    </row>
    <row r="73" spans="1:13" x14ac:dyDescent="0.2">
      <c r="A73" s="210" t="s">
        <v>764</v>
      </c>
      <c r="B73" s="210" t="s">
        <v>765</v>
      </c>
      <c r="C73" s="375"/>
      <c r="D73" s="375"/>
      <c r="E73" s="375"/>
      <c r="F73" s="375"/>
      <c r="G73" s="375"/>
      <c r="H73" s="375"/>
      <c r="I73" s="375"/>
      <c r="J73" s="375"/>
      <c r="K73" s="375"/>
      <c r="L73" s="375"/>
      <c r="M73" s="375"/>
    </row>
    <row r="74" spans="1:13" x14ac:dyDescent="0.2">
      <c r="A74" s="211"/>
      <c r="B74" s="211"/>
      <c r="C74" s="375"/>
      <c r="D74" s="375"/>
      <c r="E74" s="375"/>
      <c r="F74" s="375"/>
      <c r="G74" s="375"/>
      <c r="H74" s="375"/>
      <c r="I74" s="375"/>
      <c r="J74" s="375"/>
      <c r="K74" s="375"/>
      <c r="L74" s="375"/>
      <c r="M74" s="375"/>
    </row>
    <row r="75" spans="1:13" x14ac:dyDescent="0.2">
      <c r="A75" s="211"/>
      <c r="B75" s="211"/>
      <c r="C75" s="375"/>
      <c r="D75" s="375"/>
      <c r="E75" s="375"/>
      <c r="F75" s="375"/>
      <c r="G75" s="375"/>
      <c r="H75" s="375"/>
      <c r="I75" s="375"/>
      <c r="J75" s="375"/>
      <c r="K75" s="375"/>
      <c r="L75" s="375"/>
      <c r="M75" s="375"/>
    </row>
    <row r="76" spans="1:13" x14ac:dyDescent="0.2">
      <c r="A76" s="211"/>
      <c r="B76" s="211"/>
      <c r="C76" s="375"/>
      <c r="D76" s="375"/>
      <c r="E76" s="375"/>
      <c r="F76" s="375"/>
      <c r="G76" s="375"/>
      <c r="H76" s="375"/>
      <c r="I76" s="375"/>
      <c r="J76" s="375"/>
      <c r="K76" s="375"/>
      <c r="L76" s="375"/>
      <c r="M76" s="375"/>
    </row>
    <row r="77" spans="1:13" x14ac:dyDescent="0.2">
      <c r="A77" s="211"/>
      <c r="B77" s="211"/>
      <c r="C77" s="375"/>
      <c r="D77" s="375"/>
      <c r="E77" s="375"/>
      <c r="F77" s="375"/>
      <c r="G77" s="375"/>
      <c r="H77" s="375"/>
      <c r="I77" s="375"/>
      <c r="J77" s="375"/>
      <c r="K77" s="375"/>
      <c r="L77" s="375"/>
      <c r="M77" s="375"/>
    </row>
    <row r="78" spans="1:13" x14ac:dyDescent="0.2">
      <c r="A78" s="211"/>
      <c r="B78" s="211"/>
      <c r="C78" s="375"/>
      <c r="D78" s="375"/>
      <c r="E78" s="375"/>
      <c r="F78" s="375"/>
      <c r="G78" s="375"/>
      <c r="H78" s="375"/>
      <c r="I78" s="375"/>
      <c r="J78" s="375"/>
      <c r="K78" s="375"/>
      <c r="L78" s="375"/>
      <c r="M78" s="375"/>
    </row>
    <row r="79" spans="1:13" x14ac:dyDescent="0.2">
      <c r="A79" s="211"/>
      <c r="B79" s="211"/>
      <c r="C79" s="375"/>
      <c r="D79" s="375"/>
      <c r="E79" s="375"/>
      <c r="F79" s="375"/>
      <c r="G79" s="375"/>
      <c r="H79" s="375"/>
      <c r="I79" s="375"/>
      <c r="J79" s="375"/>
      <c r="K79" s="375"/>
      <c r="L79" s="375"/>
      <c r="M79" s="375"/>
    </row>
    <row r="80" spans="1:13" x14ac:dyDescent="0.2">
      <c r="A80" s="211"/>
      <c r="B80" s="211"/>
      <c r="C80" s="375"/>
      <c r="D80" s="375"/>
      <c r="E80" s="375"/>
      <c r="F80" s="375"/>
      <c r="G80" s="375"/>
      <c r="H80" s="375"/>
      <c r="I80" s="375"/>
      <c r="J80" s="375"/>
      <c r="K80" s="375"/>
      <c r="L80" s="375"/>
      <c r="M80" s="375"/>
    </row>
    <row r="81" spans="1:13" x14ac:dyDescent="0.2">
      <c r="A81" s="211"/>
      <c r="B81" s="211"/>
      <c r="C81" s="375"/>
      <c r="D81" s="375"/>
      <c r="E81" s="375"/>
      <c r="F81" s="375"/>
      <c r="G81" s="375"/>
      <c r="H81" s="375"/>
      <c r="I81" s="375"/>
      <c r="J81" s="375"/>
      <c r="K81" s="375"/>
      <c r="L81" s="375"/>
      <c r="M81" s="375"/>
    </row>
    <row r="82" spans="1:13" x14ac:dyDescent="0.2">
      <c r="A82" s="211"/>
      <c r="B82" s="211"/>
      <c r="C82" s="375"/>
      <c r="D82" s="375"/>
      <c r="E82" s="375"/>
      <c r="F82" s="375"/>
      <c r="G82" s="375"/>
      <c r="H82" s="375"/>
      <c r="I82" s="375"/>
      <c r="J82" s="375"/>
      <c r="K82" s="375"/>
      <c r="L82" s="375"/>
      <c r="M82" s="375"/>
    </row>
    <row r="83" spans="1:13" x14ac:dyDescent="0.2">
      <c r="A83" s="211"/>
      <c r="B83" s="211"/>
      <c r="C83" s="375"/>
      <c r="D83" s="375"/>
      <c r="E83" s="375"/>
      <c r="F83" s="375"/>
      <c r="G83" s="375"/>
      <c r="H83" s="375"/>
      <c r="I83" s="375"/>
      <c r="J83" s="375"/>
      <c r="K83" s="375"/>
      <c r="L83" s="375"/>
      <c r="M83" s="375"/>
    </row>
    <row r="84" spans="1:13" x14ac:dyDescent="0.2">
      <c r="A84" s="211"/>
      <c r="B84" s="211"/>
      <c r="C84" s="375"/>
      <c r="D84" s="375"/>
      <c r="E84" s="375"/>
      <c r="F84" s="375"/>
      <c r="G84" s="375"/>
      <c r="H84" s="375"/>
      <c r="I84" s="375"/>
      <c r="J84" s="375"/>
      <c r="K84" s="375"/>
      <c r="L84" s="375"/>
      <c r="M84" s="375"/>
    </row>
    <row r="85" spans="1:13" x14ac:dyDescent="0.2">
      <c r="A85" s="211"/>
      <c r="B85" s="211"/>
      <c r="C85" s="375"/>
      <c r="D85" s="375"/>
      <c r="E85" s="375"/>
      <c r="F85" s="375"/>
      <c r="G85" s="375"/>
      <c r="H85" s="375"/>
      <c r="I85" s="375"/>
      <c r="J85" s="375"/>
      <c r="K85" s="375"/>
      <c r="L85" s="375"/>
      <c r="M85" s="375"/>
    </row>
    <row r="86" spans="1:13" x14ac:dyDescent="0.2">
      <c r="A86" s="211"/>
      <c r="B86" s="211"/>
      <c r="C86" s="375"/>
      <c r="D86" s="375"/>
      <c r="E86" s="375"/>
      <c r="F86" s="375"/>
      <c r="G86" s="375"/>
      <c r="H86" s="375"/>
      <c r="I86" s="375"/>
      <c r="J86" s="375"/>
      <c r="K86" s="375"/>
      <c r="L86" s="375"/>
      <c r="M86" s="375"/>
    </row>
    <row r="87" spans="1:13" x14ac:dyDescent="0.2">
      <c r="A87" s="211"/>
      <c r="B87" s="211"/>
      <c r="C87" s="375"/>
      <c r="D87" s="375"/>
      <c r="E87" s="375"/>
      <c r="F87" s="375"/>
      <c r="G87" s="375"/>
      <c r="H87" s="375"/>
      <c r="I87" s="375"/>
      <c r="J87" s="375"/>
      <c r="K87" s="375"/>
      <c r="L87" s="375"/>
      <c r="M87" s="375"/>
    </row>
    <row r="88" spans="1:13" x14ac:dyDescent="0.2">
      <c r="A88" s="211"/>
      <c r="B88" s="211"/>
      <c r="C88" s="375"/>
      <c r="D88" s="375"/>
      <c r="E88" s="375"/>
      <c r="F88" s="375"/>
      <c r="G88" s="375"/>
      <c r="H88" s="375"/>
      <c r="I88" s="375"/>
      <c r="J88" s="375"/>
      <c r="K88" s="375"/>
      <c r="L88" s="375"/>
      <c r="M88" s="375"/>
    </row>
    <row r="89" spans="1:13" x14ac:dyDescent="0.2">
      <c r="A89" s="211"/>
      <c r="B89" s="211"/>
      <c r="C89" s="375"/>
      <c r="D89" s="375"/>
      <c r="E89" s="375"/>
      <c r="F89" s="375"/>
      <c r="G89" s="375"/>
      <c r="H89" s="375"/>
      <c r="I89" s="375"/>
      <c r="J89" s="375"/>
      <c r="K89" s="375"/>
      <c r="L89" s="375"/>
      <c r="M89" s="375"/>
    </row>
    <row r="90" spans="1:13" x14ac:dyDescent="0.2">
      <c r="A90" s="211"/>
      <c r="B90" s="211"/>
      <c r="C90" s="375"/>
      <c r="D90" s="375"/>
      <c r="E90" s="375"/>
      <c r="F90" s="375"/>
      <c r="G90" s="375"/>
      <c r="H90" s="375"/>
      <c r="I90" s="375"/>
      <c r="J90" s="375"/>
      <c r="K90" s="375"/>
      <c r="L90" s="375"/>
      <c r="M90" s="375"/>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Fenn, James</dc:creator>
  <dc:description/>
  <cp:lastModifiedBy>Welch, Matthew</cp:lastModifiedBy>
  <cp:lastPrinted>2021-05-05T12:20:34Z</cp:lastPrinted>
  <dcterms:created xsi:type="dcterms:W3CDTF">1997-12-04T19:04:30Z</dcterms:created>
  <dcterms:modified xsi:type="dcterms:W3CDTF">2021-12-07T19:01:40Z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