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18060" windowHeight="991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G469" i="1" l="1"/>
  <c r="D7" i="14" l="1"/>
  <c r="F466" i="1" l="1"/>
  <c r="F469" i="1"/>
  <c r="F498" i="1" l="1"/>
  <c r="F583" i="1" l="1"/>
  <c r="F15" i="13"/>
  <c r="C20" i="12" l="1"/>
  <c r="C11" i="12"/>
  <c r="C10" i="12"/>
  <c r="C19" i="12"/>
  <c r="C39" i="12"/>
  <c r="C37" i="12"/>
  <c r="B37" i="12"/>
  <c r="F201" i="1"/>
  <c r="B21" i="12"/>
  <c r="B19" i="12"/>
  <c r="B10" i="12"/>
  <c r="B11" i="12"/>
  <c r="H542" i="1" l="1"/>
  <c r="K359" i="1" l="1"/>
  <c r="J380" i="1"/>
  <c r="J277" i="1" l="1"/>
  <c r="I359" i="1" l="1"/>
  <c r="J204" i="1" l="1"/>
  <c r="H204" i="1"/>
  <c r="H205" i="1"/>
  <c r="H203" i="1"/>
  <c r="H208" i="1"/>
  <c r="G198" i="1"/>
  <c r="F110" i="1" l="1"/>
  <c r="F109" i="1"/>
  <c r="H527" i="1" l="1"/>
  <c r="F527" i="1"/>
  <c r="G522" i="1"/>
  <c r="K522" i="1"/>
  <c r="J522" i="1"/>
  <c r="I522" i="1"/>
  <c r="H522" i="1"/>
  <c r="F522" i="1"/>
  <c r="F500" i="1" l="1"/>
  <c r="F499" i="1"/>
  <c r="G205" i="1" l="1"/>
  <c r="J199" i="1"/>
  <c r="I199" i="1"/>
  <c r="I208" i="1"/>
  <c r="I203" i="1"/>
  <c r="I198" i="1"/>
  <c r="H199"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H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E119" i="2" s="1"/>
  <c r="L284" i="1"/>
  <c r="E120" i="2" s="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1"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G409" i="1" l="1"/>
  <c r="H646" i="1" s="1"/>
  <c r="D50" i="2"/>
  <c r="H477" i="1"/>
  <c r="H625" i="1" s="1"/>
  <c r="J625" i="1" s="1"/>
  <c r="K339" i="1"/>
  <c r="K353" i="1" s="1"/>
  <c r="G662" i="1"/>
  <c r="G553" i="1"/>
  <c r="C121" i="2"/>
  <c r="J258" i="1"/>
  <c r="J272" i="1" s="1"/>
  <c r="C120" i="2"/>
  <c r="A40" i="12"/>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B33" i="16"/>
  <c r="L615" i="1"/>
  <c r="K599" i="1"/>
  <c r="G648" i="1" s="1"/>
  <c r="K572" i="1"/>
  <c r="L571" i="1"/>
  <c r="H572" i="1"/>
  <c r="L566" i="1"/>
  <c r="I572" i="1"/>
  <c r="K546" i="1"/>
  <c r="H52" i="1"/>
  <c r="H620" i="1" s="1"/>
  <c r="J620" i="1" s="1"/>
  <c r="C114" i="2"/>
  <c r="G112" i="1"/>
  <c r="B10" i="16" s="1"/>
  <c r="E118" i="2"/>
  <c r="E128" i="2" s="1"/>
  <c r="L248" i="1"/>
  <c r="L212" i="1"/>
  <c r="H648" i="1"/>
  <c r="J64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L572" i="1"/>
  <c r="F661" i="1"/>
  <c r="F665" i="1" s="1"/>
  <c r="F668" i="1" s="1"/>
  <c r="H665" i="1"/>
  <c r="H668" i="1" s="1"/>
  <c r="F194" i="1"/>
  <c r="G628" i="1" s="1"/>
  <c r="J628" i="1" s="1"/>
  <c r="H649" i="1"/>
  <c r="J649" i="1" s="1"/>
  <c r="F51" i="2"/>
  <c r="I36" i="14"/>
  <c r="G36" i="14"/>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<sst xmlns="http://schemas.openxmlformats.org/spreadsheetml/2006/main" count="5577" uniqueCount="1675">
  <si>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</si>
  <si>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</si>
  <si>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</si>
  <si>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</si>
  <si>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</si>
  <si>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</si>
  <si>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</si>
  <si>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</si>
  <si>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</si>
  <si>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</si>
  <si>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</si>
  <si>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</si>
  <si>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</si>
  <si>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</si>
  <si>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</si>
  <si>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</si>
  <si>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</si>
  <si>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</si>
  <si>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</si>
  <si>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</si>
  <si>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</si>
  <si>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</si>
  <si>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</si>
  <si>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</si>
  <si>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</si>
  <si>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</si>
  <si>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</si>
  <si>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</si>
  <si>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</si>
  <si>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</si>
  <si>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</si>
  <si>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</si>
  <si>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</si>
  <si>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</si>
  <si>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</si>
  <si>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</si>
  <si>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</si>
  <si>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</si>
  <si>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</si>
  <si>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</si>
  <si>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</si>
  <si>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</si>
  <si>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</si>
  <si>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</si>
  <si>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</si>
  <si>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</si>
  <si>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</si>
  <si>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</si>
  <si>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</si>
  <si>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</si>
  <si>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</si>
  <si>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</si>
  <si>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</si>
  <si>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</si>
  <si>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</si>
  <si>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</si>
  <si>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</si>
  <si>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</si>
  <si>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</si>
  <si>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</si>
  <si>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</si>
  <si>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</si>
  <si>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</si>
  <si>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</si>
  <si>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</si>
  <si>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</si>
  <si>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</si>
  <si>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</si>
  <si>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</si>
  <si>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</si>
  <si>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</si>
  <si>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</si>
  <si>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</si>
  <si>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</si>
  <si>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</si>
  <si>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</si>
  <si>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</si>
  <si>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</si>
  <si>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</si>
  <si>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</si>
  <si>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</si>
  <si>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</si>
  <si>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</si>
  <si>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</si>
  <si>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</si>
  <si>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</si>
  <si>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</si>
  <si>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</si>
  <si>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</si>
  <si>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</si>
  <si>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</si>
  <si>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</si>
  <si>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</si>
  <si>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</si>
  <si>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</si>
  <si>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</si>
  <si>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</si>
  <si>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</si>
  <si>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</si>
  <si>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</si>
  <si>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</si>
  <si>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</si>
  <si>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</si>
  <si>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</si>
  <si>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</si>
  <si>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</si>
  <si>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</si>
  <si>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</si>
  <si>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</si>
  <si>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</si>
  <si>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</si>
  <si>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</si>
  <si>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</si>
  <si>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</si>
  <si>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</si>
  <si>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</si>
  <si>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</si>
  <si>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</si>
  <si>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</si>
  <si>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</si>
  <si>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</si>
  <si>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</si>
  <si>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</si>
  <si>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</si>
  <si>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</si>
  <si>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</si>
  <si>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</si>
  <si>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</si>
  <si>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</si>
  <si>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</si>
  <si>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</si>
  <si>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</si>
  <si>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</si>
  <si>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</si>
  <si>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</si>
  <si>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</si>
  <si>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</si>
  <si>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</si>
  <si>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</si>
  <si>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</si>
  <si>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</si>
  <si>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</si>
  <si>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</si>
  <si>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</si>
  <si>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</si>
  <si>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</si>
  <si>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</si>
  <si>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</si>
  <si>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</si>
  <si>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</si>
  <si>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</si>
  <si>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</si>
  <si>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</si>
  <si>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</si>
  <si>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</si>
  <si>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</si>
  <si>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</si>
  <si>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</si>
  <si>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</si>
  <si>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</si>
  <si>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</si>
  <si>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</si>
  <si>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</si>
  <si>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</si>
  <si>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</si>
  <si>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</si>
  <si>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</si>
  <si>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</si>
  <si>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</si>
  <si>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</si>
  <si>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</si>
  <si>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</si>
  <si>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</si>
  <si>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</si>
  <si>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</si>
  <si>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</si>
  <si>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</si>
  <si>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</si>
  <si>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</si>
  <si>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</si>
  <si>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</si>
  <si>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</si>
  <si>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</si>
  <si>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</si>
  <si>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</si>
  <si>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</si>
  <si>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</si>
  <si>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</si>
  <si>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</si>
  <si>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</si>
  <si>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</si>
  <si>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</si>
  <si>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</si>
  <si>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</si>
  <si>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</si>
  <si>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</si>
  <si>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</si>
  <si>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</si>
  <si>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</si>
  <si>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</si>
  <si>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</si>
  <si>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</si>
  <si>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</si>
  <si>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</si>
  <si>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</si>
  <si>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</si>
  <si>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</si>
  <si>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</si>
  <si>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</si>
  <si>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</si>
  <si>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</si>
  <si>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</si>
  <si>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</si>
  <si>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</si>
  <si>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</si>
  <si>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</si>
  <si>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</si>
  <si>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</si>
  <si>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</si>
  <si>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</si>
  <si>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</si>
  <si>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</si>
  <si>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</si>
  <si>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</si>
  <si>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</si>
  <si>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</si>
  <si>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</si>
  <si>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</si>
  <si>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</si>
  <si>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</si>
  <si>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</si>
  <si>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</si>
  <si>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</si>
  <si>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</si>
  <si>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</si>
  <si>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</si>
  <si>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</si>
  <si>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</si>
  <si>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</si>
  <si>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</si>
  <si>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</si>
  <si>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</si>
  <si>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</si>
  <si>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</si>
  <si>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</si>
  <si>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</si>
  <si>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</si>
  <si>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</si>
  <si>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</si>
  <si>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</si>
  <si>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</si>
  <si>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</si>
  <si>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</si>
  <si>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</si>
  <si>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</si>
  <si>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</si>
  <si>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</si>
  <si>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</si>
  <si>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</si>
  <si>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</si>
  <si>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</si>
  <si>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</si>
  <si>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</si>
  <si>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</si>
  <si>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</si>
  <si>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</si>
  <si>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</si>
  <si>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</si>
  <si>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</si>
  <si>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</si>
  <si>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</si>
  <si>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</si>
  <si>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</si>
  <si>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</si>
  <si>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</si>
  <si>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</si>
  <si>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</si>
  <si>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</si>
  <si>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</si>
  <si>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</si>
  <si>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</si>
  <si>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</si>
  <si>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</si>
  <si>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</si>
  <si>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</si>
  <si>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</si>
  <si>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</si>
  <si>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</si>
  <si>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</si>
  <si>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</si>
  <si>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</si>
  <si>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</si>
  <si>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</si>
  <si>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</si>
  <si>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</si>
  <si>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</si>
  <si>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</si>
  <si>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</si>
  <si>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</si>
  <si>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</si>
  <si>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</si>
  <si>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</si>
  <si>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</si>
  <si>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</si>
  <si>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</si>
  <si>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</si>
  <si>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</si>
  <si>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</si>
  <si>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</si>
  <si>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</si>
  <si>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</si>
  <si>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</si>
  <si>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</si>
  <si>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</si>
  <si>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</si>
  <si>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</si>
  <si>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</si>
  <si>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</si>
  <si>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</si>
  <si>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</si>
  <si>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</si>
  <si>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</si>
  <si>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</si>
  <si>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</si>
  <si>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</si>
  <si>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</si>
  <si>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</si>
  <si>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</si>
  <si>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</si>
  <si>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</si>
  <si>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</si>
  <si>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</si>
  <si>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</si>
  <si>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</si>
  <si>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</si>
  <si>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</si>
  <si>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</si>
  <si>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</si>
  <si>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</si>
  <si>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</si>
  <si>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</si>
  <si>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</si>
  <si>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</si>
  <si>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</si>
  <si>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</si>
  <si>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</si>
  <si>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</si>
  <si>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</si>
  <si>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</si>
  <si>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</si>
  <si>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</si>
  <si>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</si>
  <si>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</si>
  <si>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</si>
  <si>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</si>
  <si>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</si>
  <si>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</si>
  <si>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</si>
  <si>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</si>
  <si>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</si>
  <si>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</si>
  <si>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</si>
  <si>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</si>
  <si>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</si>
  <si>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</si>
  <si>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</si>
  <si>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</si>
  <si>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</si>
  <si>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</si>
  <si>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</si>
  <si>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</si>
  <si>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</si>
  <si>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</si>
  <si>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</si>
  <si>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</si>
  <si>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</si>
  <si>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</si>
  <si>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</si>
  <si>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</si>
  <si>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</si>
  <si>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</si>
  <si>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</si>
  <si>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</si>
  <si>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</si>
  <si>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</si>
  <si>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</si>
  <si>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</si>
  <si>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</si>
  <si>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</si>
  <si>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</si>
  <si>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</si>
  <si>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</si>
  <si>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</si>
  <si>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</si>
  <si>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</si>
  <si>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</si>
  <si>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</si>
  <si>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</si>
  <si>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</si>
  <si>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</si>
  <si>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</si>
  <si>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</si>
  <si>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</si>
  <si>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</si>
  <si>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</si>
  <si>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</si>
  <si>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</si>
  <si>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</si>
  <si>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</si>
  <si>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</si>
  <si>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</si>
  <si>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</si>
  <si>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</si>
  <si>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</si>
  <si>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</si>
  <si>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</si>
  <si>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</si>
  <si>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</si>
  <si>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</si>
  <si>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</si>
  <si>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</si>
  <si>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</si>
  <si>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</si>
  <si>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</si>
  <si>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</si>
  <si>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</si>
  <si>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</si>
  <si>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</si>
  <si>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</si>
  <si>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</si>
  <si>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</si>
  <si>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</si>
  <si>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</si>
  <si>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</si>
  <si>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</si>
  <si>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</si>
  <si>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</si>
  <si>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</si>
  <si>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</si>
  <si>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</si>
  <si>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</si>
  <si>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</si>
  <si>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</si>
  <si>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</si>
  <si>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</si>
  <si>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</si>
  <si>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</si>
  <si>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</si>
  <si>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</si>
  <si>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</si>
  <si>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</si>
  <si>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</si>
  <si>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</si>
  <si>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</si>
  <si>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</si>
  <si>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</si>
  <si>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</si>
  <si>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</si>
  <si>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</si>
  <si>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</si>
  <si>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</si>
  <si>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</si>
  <si>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</si>
  <si>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</si>
  <si>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</si>
  <si>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</si>
  <si>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</si>
  <si>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</si>
  <si>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</si>
  <si>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</si>
  <si>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</si>
  <si>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</si>
  <si>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</si>
  <si>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</si>
  <si>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</si>
  <si>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</si>
  <si>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</si>
  <si>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</si>
  <si>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</si>
  <si>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</si>
  <si>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</si>
  <si>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</si>
  <si>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</si>
  <si>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</si>
  <si>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</si>
  <si>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</si>
  <si>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</si>
  <si>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</si>
  <si>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</si>
  <si>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</si>
  <si>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</si>
  <si>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</si>
  <si>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</si>
  <si>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</si>
  <si>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</si>
  <si>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</si>
  <si>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</si>
  <si>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</si>
  <si>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</si>
  <si>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</si>
  <si>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</si>
  <si>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</si>
  <si>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</si>
  <si>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</si>
  <si>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</si>
  <si>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</si>
  <si>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</si>
  <si>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</si>
  <si>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</si>
  <si>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</si>
  <si>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</si>
  <si>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</si>
  <si>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</si>
  <si>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</si>
  <si>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</si>
  <si>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</si>
  <si>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</si>
  <si>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</si>
  <si>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</si>
  <si>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</si>
  <si>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</si>
  <si>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</si>
  <si>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</si>
  <si>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</si>
  <si>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</si>
  <si>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</si>
  <si>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</si>
  <si>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</si>
  <si>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</si>
  <si>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</si>
  <si>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</si>
  <si>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</si>
  <si>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</si>
  <si>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</si>
  <si>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</si>
  <si>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</si>
  <si>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</si>
  <si>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</si>
  <si>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</si>
  <si>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</si>
  <si>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</si>
  <si>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</si>
  <si>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</si>
  <si>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</si>
  <si>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</si>
  <si>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</si>
  <si>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</si>
  <si>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</si>
  <si>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</si>
  <si>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</si>
  <si>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</si>
  <si>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</si>
  <si>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</si>
  <si>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</si>
  <si>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</si>
  <si>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</si>
  <si>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</si>
  <si>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</si>
  <si>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</si>
  <si>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</si>
  <si>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</si>
  <si>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</si>
  <si>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</si>
  <si>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</si>
  <si>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</si>
  <si>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</si>
  <si>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</si>
  <si>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</si>
  <si>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</si>
  <si>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</si>
  <si>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</si>
  <si>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</si>
  <si>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</si>
  <si>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</si>
  <si>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</si>
  <si>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</si>
  <si>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</si>
  <si>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</si>
  <si>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</si>
  <si>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</si>
  <si>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</si>
  <si>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</si>
  <si>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</si>
  <si>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</si>
  <si>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</si>
  <si>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</si>
  <si>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</si>
  <si>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</si>
  <si>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</si>
  <si>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</si>
  <si>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</si>
  <si>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</si>
  <si>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</si>
  <si>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</si>
  <si>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</si>
  <si>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</si>
  <si>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</si>
  <si>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</si>
  <si>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</si>
  <si>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</si>
  <si>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</si>
  <si>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</si>
  <si>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</si>
  <si>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</si>
  <si>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</si>
  <si>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</si>
  <si>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</si>
  <si>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</si>
  <si>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</si>
  <si>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</si>
  <si>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</si>
  <si>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</si>
  <si>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</si>
  <si>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</si>
  <si>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</si>
  <si>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</si>
  <si>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</si>
  <si>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</si>
  <si>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</si>
  <si>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</si>
  <si>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</si>
  <si>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</si>
  <si>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</si>
  <si>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</si>
  <si>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</si>
  <si>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</si>
  <si>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</si>
  <si>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</si>
  <si>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</si>
  <si>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</si>
  <si>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</si>
  <si>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</si>
  <si>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</si>
  <si>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</si>
  <si>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</si>
  <si>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</si>
  <si>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</si>
  <si>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</si>
  <si>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</si>
  <si>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</si>
  <si>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</si>
  <si>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</si>
  <si>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</si>
  <si>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</si>
  <si>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</si>
  <si>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</si>
  <si>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</si>
  <si>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</si>
  <si>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</si>
  <si>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</si>
  <si>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</si>
  <si>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</si>
  <si>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</si>
  <si>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</si>
  <si>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</si>
  <si>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</si>
  <si>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</si>
  <si>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</si>
  <si>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</si>
  <si>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</si>
  <si>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</si>
  <si>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</si>
  <si>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</si>
  <si>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</si>
  <si>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</si>
  <si>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</si>
  <si>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</si>
  <si>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</si>
  <si>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</si>
  <si>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</si>
  <si>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</si>
  <si>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</si>
  <si>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</si>
  <si>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</si>
  <si>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</si>
  <si>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</si>
  <si>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</si>
  <si>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</si>
  <si>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</si>
  <si>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</si>
  <si>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</si>
  <si>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</si>
  <si>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</si>
  <si>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</si>
  <si>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</si>
  <si>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</si>
  <si>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</si>
  <si>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</si>
  <si>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</si>
  <si>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</si>
  <si>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</si>
  <si>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</si>
  <si>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</si>
  <si>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</si>
  <si>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</si>
  <si>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</si>
  <si>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</si>
  <si>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</si>
  <si>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</si>
  <si>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</si>
  <si>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</si>
  <si>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</si>
  <si>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</si>
  <si>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</si>
  <si>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</si>
  <si>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</si>
  <si>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</si>
  <si>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</si>
  <si>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</si>
  <si>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</si>
  <si>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</si>
  <si>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</si>
  <si>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</si>
  <si>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</si>
  <si>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</si>
  <si>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</si>
  <si>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</si>
  <si>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</si>
  <si>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</si>
  <si>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</si>
  <si>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</si>
  <si>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</si>
  <si>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</si>
  <si>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</si>
  <si>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</si>
  <si>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</si>
  <si>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</si>
  <si>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</si>
  <si>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</si>
  <si>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</si>
  <si>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</si>
  <si>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</si>
  <si>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</si>
  <si>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</si>
  <si>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</si>
  <si>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</si>
  <si>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</si>
  <si>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</si>
  <si>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</si>
  <si>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</si>
  <si>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</si>
  <si>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</si>
  <si>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</si>
  <si>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</si>
  <si>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</si>
  <si>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</si>
  <si>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</si>
  <si>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</si>
  <si>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</si>
  <si>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</si>
  <si>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</si>
  <si>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</si>
  <si>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</si>
  <si>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</si>
  <si>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</si>
  <si>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</si>
  <si>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</si>
  <si>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</si>
  <si>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</si>
  <si>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</si>
  <si>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</si>
  <si>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</si>
  <si>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</si>
  <si>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</si>
  <si>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</si>
  <si>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</si>
  <si>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</si>
  <si>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</si>
  <si>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</si>
  <si>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</si>
  <si>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</si>
  <si>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</si>
  <si>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</si>
  <si>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</si>
  <si>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</si>
  <si>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</si>
  <si>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</si>
  <si>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</si>
  <si>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</si>
  <si>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</si>
  <si>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</si>
  <si>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</si>
  <si>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</si>
  <si>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</si>
  <si>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</si>
  <si>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</si>
  <si>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</si>
  <si>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</si>
  <si>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</si>
  <si>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</si>
  <si>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</si>
  <si>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</si>
  <si>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</si>
  <si>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</si>
  <si>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</si>
  <si>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</si>
  <si>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</si>
  <si>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</si>
  <si>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</si>
  <si>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</si>
  <si>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</si>
  <si>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</si>
  <si>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</si>
  <si>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</si>
  <si>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</si>
  <si>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</si>
  <si>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</si>
  <si>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</si>
  <si>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</si>
  <si>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</si>
  <si>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</si>
  <si>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</si>
  <si>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</si>
  <si>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</si>
  <si>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</si>
  <si>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</si>
  <si>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</si>
  <si>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</si>
  <si>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</si>
  <si>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</si>
  <si>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</si>
  <si>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</si>
  <si>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</si>
  <si>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</si>
  <si>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</si>
  <si>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</si>
  <si>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</si>
  <si>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</si>
  <si>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</si>
  <si>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</si>
  <si>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</si>
  <si>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</si>
  <si>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</si>
  <si>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</si>
  <si>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</si>
  <si>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</si>
  <si>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</si>
  <si>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</si>
  <si>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</si>
  <si>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</si>
  <si>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</si>
  <si>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</si>
  <si>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</si>
  <si>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</si>
  <si>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</si>
  <si>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</si>
  <si>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</si>
  <si>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</si>
  <si>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</si>
  <si>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</si>
  <si>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</si>
  <si>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</si>
  <si>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</si>
  <si>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</si>
  <si>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</si>
  <si>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</si>
  <si>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</si>
  <si>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</si>
  <si>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</si>
  <si>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</si>
  <si>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</si>
  <si>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</si>
  <si>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</si>
  <si>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</si>
  <si>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</si>
  <si>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</si>
  <si>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</si>
  <si>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</si>
  <si>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</si>
  <si>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</si>
  <si>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</si>
  <si>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</si>
  <si>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</si>
  <si>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</si>
  <si>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</si>
  <si>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</si>
  <si>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</si>
  <si>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</si>
  <si>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</si>
  <si>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</si>
  <si>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</si>
  <si>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</si>
  <si>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</si>
  <si>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</si>
  <si>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</si>
  <si>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</si>
  <si>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</si>
  <si>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</si>
  <si>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</si>
  <si>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</si>
  <si>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</si>
  <si>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</si>
  <si>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</si>
  <si>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</si>
  <si>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</si>
  <si>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</si>
  <si>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</si>
  <si>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</si>
  <si>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</si>
  <si>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</si>
  <si>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</si>
  <si>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</si>
  <si>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</si>
  <si>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</si>
  <si>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</si>
  <si>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</si>
  <si>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</si>
  <si>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</si>
  <si>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</si>
  <si>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</si>
  <si>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</si>
  <si>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</si>
  <si>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</si>
  <si>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</si>
  <si>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</si>
  <si>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</si>
  <si>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</si>
  <si>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</si>
  <si>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</si>
  <si>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</si>
  <si>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</si>
  <si>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</si>
  <si>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</si>
  <si>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</si>
  <si>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</si>
  <si>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</si>
  <si>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</si>
  <si>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</si>
  <si>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</si>
  <si>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</si>
  <si>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</si>
  <si>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</si>
  <si>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</si>
  <si>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</si>
  <si>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</si>
  <si>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</si>
  <si>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</si>
  <si>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</si>
  <si>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</si>
  <si>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</si>
  <si>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</si>
  <si>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</si>
  <si>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</si>
  <si>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</si>
  <si>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</si>
  <si>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</si>
  <si>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</si>
  <si>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</si>
  <si>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</si>
  <si>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</si>
  <si>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</si>
  <si>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</si>
  <si>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</si>
  <si>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</si>
  <si>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</si>
  <si>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</si>
  <si>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</si>
  <si>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</si>
  <si>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</si>
  <si>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</si>
  <si>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</si>
  <si>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</si>
  <si>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</si>
  <si>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</si>
  <si>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</si>
  <si>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</si>
  <si>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</si>
  <si>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</si>
  <si>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</si>
  <si>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</si>
  <si>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</si>
  <si>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</si>
  <si>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</si>
  <si>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</si>
  <si>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</si>
  <si>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</si>
  <si>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</si>
  <si>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</si>
  <si>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</si>
  <si>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</si>
  <si>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</si>
  <si>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</si>
  <si>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</si>
  <si>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</si>
  <si>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</si>
  <si>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</si>
  <si>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</si>
  <si>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</si>
  <si>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</si>
  <si>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</si>
  <si>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</si>
  <si>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</si>
  <si>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</si>
  <si>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</si>
  <si>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</si>
  <si>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</si>
  <si>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</si>
  <si>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</si>
  <si>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</si>
  <si>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</si>
  <si>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</si>
  <si>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</si>
  <si>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</si>
  <si>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</si>
  <si>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</si>
  <si>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</si>
  <si>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</si>
  <si>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</si>
  <si>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</si>
  <si>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</si>
  <si>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</si>
  <si>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</si>
  <si>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</si>
  <si>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</si>
  <si>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</si>
  <si>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</si>
  <si>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</si>
  <si>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</si>
  <si>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</si>
  <si>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</si>
  <si>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</si>
  <si>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</si>
  <si>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</si>
  <si>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</si>
  <si>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</si>
  <si>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</si>
  <si>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</si>
  <si>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</si>
  <si>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</si>
  <si>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</si>
  <si>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</si>
  <si>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</si>
  <si>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</si>
  <si>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</si>
  <si>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</si>
  <si>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</si>
  <si>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</si>
  <si>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</si>
  <si>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</si>
  <si>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</si>
  <si>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</si>
  <si>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</si>
  <si>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</si>
  <si>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</si>
  <si>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</si>
  <si>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</si>
  <si>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</si>
  <si>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</si>
  <si>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</si>
  <si>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</si>
  <si>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</si>
  <si>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</si>
  <si>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</si>
  <si>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</si>
  <si>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</si>
  <si>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</si>
  <si>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</si>
  <si>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</si>
  <si>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</si>
  <si>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</si>
  <si>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</si>
  <si>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</si>
  <si>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</si>
  <si>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</si>
  <si>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</si>
  <si>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</si>
  <si>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</si>
  <si>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</si>
  <si>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</si>
  <si>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</si>
  <si>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</si>
  <si>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</si>
  <si>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</si>
  <si>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</si>
  <si>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</si>
  <si>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</si>
  <si>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</si>
  <si>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</si>
  <si>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</si>
  <si>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</si>
  <si>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</si>
  <si>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</si>
  <si>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</si>
  <si>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</si>
  <si>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</si>
  <si>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</si>
  <si>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</si>
  <si>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</si>
  <si>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</si>
  <si>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</si>
  <si>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</si>
  <si>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</si>
  <si>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</si>
  <si>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</si>
  <si>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</si>
  <si>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</si>
  <si>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</si>
  <si>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</si>
  <si>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</si>
  <si>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</si>
  <si>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</si>
  <si>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</si>
  <si>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</si>
  <si>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</si>
  <si>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</si>
  <si>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</si>
  <si>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</si>
  <si>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</si>
  <si>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</si>
  <si>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</si>
  <si>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</si>
  <si>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</si>
  <si>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</si>
  <si>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</si>
  <si>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</si>
  <si>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</si>
  <si>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</si>
  <si>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</si>
  <si>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</si>
  <si>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</si>
  <si>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</si>
  <si>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</si>
  <si>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</si>
  <si>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</si>
  <si>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</si>
  <si>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</si>
  <si>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</si>
  <si>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</si>
  <si>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</si>
  <si>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</si>
  <si>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</si>
  <si>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</si>
  <si>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</si>
  <si>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</si>
  <si>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</si>
  <si>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</si>
  <si>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</si>
  <si>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</si>
  <si>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</si>
  <si>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</si>
  <si>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</si>
  <si>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</si>
  <si>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</si>
  <si>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</si>
  <si>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</si>
  <si>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</si>
  <si>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</si>
  <si>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</si>
  <si>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</si>
  <si>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</si>
  <si>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</si>
  <si>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</si>
  <si>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</si>
  <si>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</si>
  <si>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</si>
  <si>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</si>
  <si>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</si>
  <si>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</si>
  <si>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</si>
  <si>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</si>
  <si>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</si>
  <si>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</si>
  <si>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</si>
  <si>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</si>
  <si>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</si>
  <si>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</si>
  <si>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</si>
  <si>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</si>
  <si>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</si>
  <si>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</si>
  <si>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</si>
  <si>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</si>
  <si>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</si>
  <si>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</si>
  <si>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</si>
  <si>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</si>
  <si>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</si>
  <si>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</si>
  <si>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</si>
  <si>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</si>
  <si>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</si>
  <si>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</si>
  <si>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</si>
  <si>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</si>
  <si>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</si>
  <si>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</si>
  <si>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</si>
  <si>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</si>
  <si>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</si>
  <si>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</si>
  <si>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</si>
  <si>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</si>
  <si>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</si>
  <si>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</si>
  <si>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</si>
  <si>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</si>
  <si>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</si>
  <si>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</si>
  <si>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</si>
  <si>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</si>
  <si>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</si>
  <si>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</si>
  <si>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</si>
  <si>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</si>
  <si>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</si>
  <si>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</si>
  <si>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</si>
  <si>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</si>
  <si>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</si>
  <si>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</si>
  <si>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</si>
  <si>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</si>
  <si>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</si>
  <si>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</si>
  <si>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</si>
  <si>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</si>
  <si>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</si>
  <si>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</si>
  <si>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</si>
  <si>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</si>
  <si>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</si>
  <si>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</si>
  <si>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</si>
  <si>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</si>
  <si>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</si>
  <si>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</si>
  <si>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</si>
  <si>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</si>
  <si>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</si>
  <si>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</si>
  <si>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</si>
  <si>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</si>
  <si>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</si>
  <si>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</si>
  <si>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</si>
  <si>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</si>
  <si>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</si>
  <si>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</si>
  <si>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</si>
  <si>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</si>
  <si>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</si>
  <si>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</si>
  <si>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</si>
  <si>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</si>
  <si>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</si>
  <si>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</si>
  <si>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</si>
  <si>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</si>
  <si>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</si>
  <si>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</si>
  <si>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</si>
  <si>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</si>
  <si>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</si>
  <si>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</si>
  <si>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</si>
  <si>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</si>
  <si>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</si>
  <si>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</si>
  <si>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</si>
  <si>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</si>
  <si>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</si>
  <si>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</si>
  <si>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</si>
  <si>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</si>
  <si>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</si>
  <si>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</si>
  <si>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</si>
  <si>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</si>
  <si>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</si>
  <si>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</si>
  <si>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</si>
  <si>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</si>
  <si>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</si>
  <si>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</si>
  <si>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</si>
  <si>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</si>
  <si>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</si>
  <si>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</si>
  <si>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</si>
  <si>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</si>
  <si>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</si>
  <si>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</si>
  <si>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</si>
  <si>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</si>
  <si>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</si>
  <si>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</si>
  <si>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</si>
  <si>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</si>
  <si>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</si>
  <si>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</si>
  <si>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</si>
  <si>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</si>
  <si>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</si>
  <si>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</si>
  <si>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</si>
  <si>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</si>
  <si>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</si>
  <si>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</si>
  <si>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</si>
  <si>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</si>
  <si>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</si>
  <si>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</si>
  <si>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</si>
  <si>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</si>
  <si>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</si>
  <si>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</si>
  <si>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</si>
  <si>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</si>
  <si>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</si>
  <si>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</si>
  <si>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</si>
  <si>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</si>
  <si>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</si>
  <si>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</si>
  <si>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</si>
  <si>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</si>
  <si>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</si>
  <si>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</si>
  <si>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</si>
  <si>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</si>
  <si>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</si>
  <si>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</si>
  <si>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</si>
  <si>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</si>
  <si>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</si>
  <si>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</si>
  <si>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</si>
  <si>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</si>
  <si>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</si>
  <si>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</si>
  <si>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</si>
  <si>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</si>
  <si>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</si>
  <si>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</si>
  <si>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</si>
  <si>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</si>
  <si>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</si>
  <si>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</si>
  <si>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</si>
  <si>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</si>
  <si>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</si>
  <si>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</si>
  <si>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</si>
  <si>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</si>
  <si>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</si>
  <si>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</si>
  <si>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</si>
  <si>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</si>
  <si>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</si>
  <si>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</si>
  <si>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</si>
  <si>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</si>
  <si>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</si>
  <si>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</si>
  <si>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</si>
  <si>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</si>
  <si>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</si>
  <si>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</si>
  <si>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</si>
  <si>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</si>
  <si>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</si>
  <si>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</si>
  <si>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</si>
  <si>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</si>
  <si>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</si>
  <si>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</si>
  <si>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</si>
  <si>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</si>
  <si>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</si>
  <si>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</si>
  <si>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</si>
  <si>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</si>
  <si>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</si>
  <si>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</si>
  <si>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</si>
  <si>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</si>
  <si>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</si>
  <si>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</si>
  <si>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</si>
  <si>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</si>
  <si>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</si>
  <si>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</si>
  <si>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</si>
  <si>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</si>
  <si>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</si>
  <si>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</si>
  <si>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</si>
  <si>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</si>
  <si>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</si>
  <si>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</si>
  <si>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</si>
  <si>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</si>
  <si>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</si>
  <si>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</si>
  <si>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</si>
  <si>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</si>
  <si>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</si>
  <si>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</si>
  <si>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</si>
  <si>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</si>
  <si>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</si>
  <si>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</si>
  <si>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</si>
  <si>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</si>
  <si>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</si>
  <si>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</si>
  <si>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</si>
  <si>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</si>
  <si>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</si>
  <si>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</si>
  <si>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</si>
  <si>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</si>
  <si>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</si>
  <si>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</si>
  <si>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</si>
  <si>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</si>
  <si>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</si>
  <si>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</si>
  <si>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</si>
  <si>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</si>
  <si>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</si>
  <si>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</si>
  <si>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</si>
  <si>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</si>
  <si>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</si>
  <si>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</si>
  <si>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</si>
  <si>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</si>
  <si>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</si>
  <si>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</si>
  <si>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</si>
  <si>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</si>
  <si>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</si>
  <si>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</si>
  <si>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</si>
  <si>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</si>
  <si>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</si>
  <si>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</si>
  <si>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</si>
  <si>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</si>
  <si>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</si>
  <si>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</si>
  <si>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</si>
  <si>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</si>
  <si>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</si>
  <si>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</si>
  <si>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</si>
  <si>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</si>
  <si>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</si>
  <si>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</si>
  <si>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</si>
  <si>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</si>
  <si>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</si>
  <si>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</si>
  <si>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</si>
  <si>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</si>
  <si>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</si>
  <si>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</si>
  <si>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</si>
  <si>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</si>
  <si>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</si>
  <si>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</si>
  <si>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</si>
  <si>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</si>
  <si>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</si>
  <si>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</si>
  <si>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</si>
  <si>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</si>
  <si>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</si>
  <si>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</si>
  <si>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</si>
  <si>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</si>
  <si>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</si>
  <si>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</si>
  <si>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</si>
  <si>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</si>
  <si>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</si>
  <si>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</si>
  <si>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</si>
  <si>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</si>
  <si>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</si>
  <si>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</si>
  <si>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</si>
  <si>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</si>
  <si>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</si>
  <si>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</si>
  <si>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</si>
  <si>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</si>
  <si>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</si>
  <si>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</si>
  <si>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</si>
  <si>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</si>
  <si>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</si>
  <si>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</si>
  <si>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</si>
  <si>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</si>
  <si>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</si>
  <si>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</si>
  <si>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</si>
  <si>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</si>
  <si>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</si>
  <si>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</si>
  <si>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</si>
  <si>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</si>
  <si>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</si>
  <si>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</si>
  <si>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</si>
  <si>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</si>
  <si>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</si>
  <si>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</si>
  <si>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</si>
  <si>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</si>
  <si>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</si>
  <si>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</si>
  <si>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</si>
  <si>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</si>
  <si>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</si>
  <si>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</si>
  <si>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</si>
  <si>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</si>
  <si>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</si>
  <si>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</si>
  <si>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</si>
  <si>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</si>
  <si>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</si>
  <si>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</si>
  <si>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</si>
  <si>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</si>
  <si>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</si>
  <si>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</si>
  <si>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</si>
  <si>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</si>
  <si>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</si>
  <si>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</si>
  <si>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</si>
  <si>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</si>
  <si>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</si>
  <si>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</si>
  <si>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</si>
  <si>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</si>
  <si>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</si>
  <si>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</si>
  <si>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</si>
  <si>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</si>
  <si>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</si>
  <si>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</si>
  <si>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</si>
  <si>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</si>
  <si>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</si>
  <si>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</si>
  <si>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</si>
  <si>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</si>
  <si>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</si>
  <si>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</si>
  <si>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</si>
  <si>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</si>
  <si>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</si>
  <si>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</si>
  <si>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</si>
  <si>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</si>
  <si>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</si>
  <si>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</si>
  <si>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</si>
  <si>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</si>
  <si>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</si>
  <si>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</si>
  <si>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</si>
  <si>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</si>
  <si>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</si>
  <si>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</si>
  <si>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</si>
  <si>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</si>
  <si>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</si>
  <si>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</si>
  <si>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</si>
  <si>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</si>
  <si>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</si>
  <si>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</si>
  <si>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</si>
  <si>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</si>
  <si>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</si>
  <si>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</si>
  <si>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</si>
  <si>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</si>
  <si>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</si>
  <si>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</si>
  <si>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</si>
  <si>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</si>
  <si>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</si>
  <si>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</si>
  <si>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</si>
  <si>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</si>
  <si>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</si>
  <si>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</si>
  <si>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</si>
  <si>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</si>
  <si>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</si>
  <si>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</si>
  <si>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</si>
  <si>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</si>
  <si>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</si>
  <si>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</si>
  <si>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</si>
  <si>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</si>
  <si>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</si>
  <si>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</si>
  <si>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</si>
  <si>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</si>
  <si>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</si>
  <si>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</si>
  <si>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</si>
  <si>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</si>
  <si>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</si>
  <si>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</si>
  <si>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</si>
  <si>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</si>
  <si>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</si>
  <si>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</si>
  <si>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</si>
  <si>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</si>
  <si>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</si>
  <si>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</si>
  <si>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</si>
  <si>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</si>
  <si>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</si>
  <si>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</si>
  <si>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</si>
  <si>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</si>
  <si>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</si>
  <si>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</si>
  <si>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</si>
  <si>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</si>
  <si>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</si>
  <si>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</si>
  <si>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</si>
  <si>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</si>
  <si>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</si>
  <si>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</si>
  <si>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</si>
  <si>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</si>
  <si>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</si>
  <si>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</si>
  <si>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</si>
  <si>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</si>
  <si>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</si>
  <si>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</si>
  <si>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</si>
  <si>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</si>
  <si>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</si>
  <si>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</si>
  <si>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</si>
  <si>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</si>
  <si>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</si>
  <si>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</si>
  <si>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</si>
  <si>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</si>
  <si>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</si>
  <si>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</si>
  <si>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</si>
  <si>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</si>
  <si>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</si>
  <si>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</si>
  <si>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</si>
  <si>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</si>
  <si>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</si>
  <si>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</si>
  <si>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</si>
  <si>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</si>
  <si>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</si>
  <si>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</si>
  <si>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</si>
  <si>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</si>
  <si>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07/17</t>
  </si>
  <si>
    <t>08/42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</si>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</sst>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6"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1090</v>
      </c>
      <c r="B2" s="21">
        <v>225</v>
      </c>
      <c r="C2" s="21">
        <v>225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1336221</v>
      </c>
      <c r="G9" s="18">
        <v>-9152</v>
      </c>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246880</v>
      </c>
      <c r="G12" s="18">
        <v>40784</v>
      </c>
      <c r="H12" s="18">
        <v>237728</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1583101</v>
      </c>
      <c r="G19" s="41">
        <f>SUM(G9:G18)</f>
        <v>31632</v>
      </c>
      <c r="H19" s="41">
        <f>SUM(H9:H18)</f>
        <v>237728</v>
      </c>
      <c r="I19" s="41">
        <f>SUM(I9:I18)</f>
        <v>0</v>
      </c>
      <c r="J19" s="41">
        <f>SUM(J9:J18)</f>
        <v>0</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237728</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v>21981</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62974</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26056</v>
      </c>
      <c r="G30" s="18">
        <v>9651</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89030</v>
      </c>
      <c r="G32" s="41">
        <f>SUM(G22:G31)</f>
        <v>31632</v>
      </c>
      <c r="H32" s="41">
        <f>SUM(H22:H31)</f>
        <v>237728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338177</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300000</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v>-338177</v>
      </c>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1194071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1494071</v>
      </c>
      <c r="G51" s="41">
        <f>SUM(G35:G50)</f>
        <v>0</v>
      </c>
      <c r="H51" s="41">
        <f>SUM(H35:H50)</f>
        <v>0</v>
      </c>
      <c r="I51" s="41">
        <f>SUM(I35:I50)</f>
        <v>0</v>
      </c>
      <c r="J51" s="41">
        <f>SUM(J35:J50)</f>
        <v>0</v>
      </c>
      <c r="K51" s="45" t="s">
        <v>288</v>
      </c>
      <c r="L51" s="45" t="s">
        <v>288</v>
      </c>
      <c r="N51" s="262"/>
    </row>
    <row r="52" spans="1:14" s="3" customFormat="1" ht="12.2" customHeight="1" thickTop="1" x14ac:dyDescent="0.15">
      <c r="A52" s="38" t="s">
        <v>455</v>
      </c>
      <c r="B52" s="39" t="s">
        <v>289</v>
      </c>
      <c r="C52" s="6">
        <v>37</v>
      </c>
      <c r="D52" s="39" t="s">
        <v>653</v>
      </c>
      <c r="E52" s="39"/>
      <c r="F52" s="41">
        <f>F51+F32</f>
        <v>1583101</v>
      </c>
      <c r="G52" s="41">
        <f>G51+G32</f>
        <v>31632</v>
      </c>
      <c r="H52" s="41">
        <f>H51+H32</f>
        <v>237728</v>
      </c>
      <c r="I52" s="41">
        <f>I51+I32</f>
        <v>0</v>
      </c>
      <c r="J52" s="41">
        <f>J51+J32</f>
        <v>0</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17267279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17267279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17020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17020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1708</v>
      </c>
      <c r="G96" s="18"/>
      <c r="H96" s="18"/>
      <c r="I96" s="18">
        <v>968</v>
      </c>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8142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90000</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929</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94971</v>
      </c>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f>7768+10000+5000+1184+13305</f>
        <v>37257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2024+5000</f>
        <v>7024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231889</v>
      </c>
      <c r="G111" s="41">
        <f>SUM(G96:G110)</f>
        <v>8142</v>
      </c>
      <c r="H111" s="41">
        <f>SUM(H96:H110)</f>
        <v>0</v>
      </c>
      <c r="I111" s="41">
        <f>SUM(I96:I110)</f>
        <v>968</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17516188</v>
      </c>
      <c r="G112" s="41">
        <f>G60+G111</f>
        <v>8142</v>
      </c>
      <c r="H112" s="41">
        <f>H60+H79+H94+H111</f>
        <v>0</v>
      </c>
      <c r="I112" s="41">
        <f>I60+I111</f>
        <v>968</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4906692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4906692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382166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6796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293912</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676078</v>
      </c>
      <c r="G136" s="41">
        <f>SUM(G123:G135)</f>
        <v>6796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5582770</v>
      </c>
      <c r="G140" s="41">
        <f>G121+SUM(G136:G137)</f>
        <v>6796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98198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103119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314115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373745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89456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252806</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88642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342262</v>
      </c>
      <c r="G163" s="41">
        <f>SUM(G150:G162)</f>
        <v>314115</v>
      </c>
      <c r="H163" s="41">
        <f>SUM(H150:H162)</f>
        <v>663704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342262</v>
      </c>
      <c r="G170" s="41">
        <f>G147+G163+SUM(G164:G169)</f>
        <v>314115</v>
      </c>
      <c r="H170" s="41">
        <f>H147+H163+SUM(H164:H169)</f>
        <v>663704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66690</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312958</v>
      </c>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312958</v>
      </c>
      <c r="G184" s="41">
        <f>SUM(G180:G183)</f>
        <v>66690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312958</v>
      </c>
      <c r="G193" s="41">
        <f>G184+SUM(G189:G192)</f>
        <v>66690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23754178</v>
      </c>
      <c r="G194" s="47">
        <f>G112+G140+G170+G193</f>
        <v>395743</v>
      </c>
      <c r="H194" s="47">
        <f>H112+H140+H170+H193</f>
        <v>663704</v>
      </c>
      <c r="I194" s="47">
        <f>I112+I140+I170+I193</f>
        <v>968</v>
      </c>
      <c r="J194" s="47">
        <f>J112+J140+J193</f>
        <v>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6168121.2199999997</v>
      </c>
      <c r="G198" s="18">
        <f>2668199.36+2832</f>
        <v>2671031.36</v>
      </c>
      <c r="H198" s="18">
        <v>80665.83</v>
      </c>
      <c r="I198" s="18">
        <f>131602.67-891.03</f>
        <v>130711.64000000001</v>
      </c>
      <c r="J198" s="18">
        <v>2148.52</v>
      </c>
      <c r="K198" s="18">
        <v>1685.61</v>
      </c>
      <c r="L198" s="19">
        <f>SUM(F198:K198)</f>
        <v>9054364.1799999997</v>
      </c>
      <c r="M198" s="8"/>
      <c r="N198" s="264"/>
    </row>
    <row r="199" spans="1:14" s="3" customFormat="1" ht="12.2" customHeight="1" x14ac:dyDescent="0.15">
      <c r="A199" s="1" t="s">
        <v>439</v>
      </c>
      <c r="B199" s="2" t="s">
        <v>341</v>
      </c>
      <c r="C199" s="2" t="s">
        <v>291</v>
      </c>
      <c r="D199" s="2" t="s">
        <v>431</v>
      </c>
      <c r="E199" s="6">
        <v>1200</v>
      </c>
      <c r="F199" s="18">
        <v>1733434.21</v>
      </c>
      <c r="G199" s="18">
        <v>749847.14</v>
      </c>
      <c r="H199" s="18">
        <f>899545.17-5795</f>
        <v>893750.17</v>
      </c>
      <c r="I199" s="18">
        <f>19752.8-539.38-9168.52</f>
        <v>10044.899999999998</v>
      </c>
      <c r="J199" s="18">
        <f>1523.99-1443.99</f>
        <v>80</v>
      </c>
      <c r="K199" s="18">
        <v>2590</v>
      </c>
      <c r="L199" s="19">
        <f>SUM(F199:K199)</f>
        <v>3389746.42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59611.86+12024</f>
        <v>71635.86</v>
      </c>
      <c r="G201" s="18">
        <v>25786.84</v>
      </c>
      <c r="H201" s="18">
        <v>2241.86</v>
      </c>
      <c r="I201" s="18">
        <v>5388.52</v>
      </c>
      <c r="J201" s="18"/>
      <c r="K201" s="18"/>
      <c r="L201" s="19">
        <f>SUM(F201:K201)</f>
        <v>105053.08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1191477.51</v>
      </c>
      <c r="G203" s="18">
        <v>515408.08</v>
      </c>
      <c r="H203" s="18">
        <f>84136.06+3234</f>
        <v>87370.06</v>
      </c>
      <c r="I203" s="18">
        <f>6212.94-2000.44</f>
        <v>4212.5</v>
      </c>
      <c r="J203" s="18"/>
      <c r="K203" s="18"/>
      <c r="L203" s="19">
        <f t="shared" ref="L203:L209" si="0">SUM(F203:K203)</f>
        <v>1798468.1500000001</v>
      </c>
      <c r="M203" s="8"/>
      <c r="N203" s="264"/>
    </row>
    <row r="204" spans="1:14" s="3" customFormat="1" ht="12.2" customHeight="1" x14ac:dyDescent="0.15">
      <c r="A204" s="1" t="s">
        <v>443</v>
      </c>
      <c r="B204" s="2" t="s">
        <v>341</v>
      </c>
      <c r="C204" s="2" t="s">
        <v>295</v>
      </c>
      <c r="D204" s="2" t="s">
        <v>431</v>
      </c>
      <c r="E204" s="6">
        <v>2200</v>
      </c>
      <c r="F204" s="18">
        <v>564830.21</v>
      </c>
      <c r="G204" s="18">
        <v>244333.66</v>
      </c>
      <c r="H204" s="18">
        <f>349676</f>
        <v>349676</v>
      </c>
      <c r="I204" s="18">
        <v>215018.1</v>
      </c>
      <c r="J204" s="18">
        <f>575402.56-155218.23+1031.76+226032-99815</f>
        <v>547433.09000000008</v>
      </c>
      <c r="K204" s="18"/>
      <c r="L204" s="19">
        <f t="shared" si="0"/>
        <v>1921291.0600000003</v>
      </c>
      <c r="M204" s="8"/>
      <c r="N204" s="264"/>
    </row>
    <row r="205" spans="1:14" s="3" customFormat="1" ht="12.2" customHeight="1" x14ac:dyDescent="0.15">
      <c r="A205" s="1" t="s">
        <v>444</v>
      </c>
      <c r="B205" s="2" t="s">
        <v>341</v>
      </c>
      <c r="C205" s="2" t="s">
        <v>296</v>
      </c>
      <c r="D205" s="2" t="s">
        <v>431</v>
      </c>
      <c r="E205" s="6">
        <v>2300</v>
      </c>
      <c r="F205" s="18">
        <v>359447.85</v>
      </c>
      <c r="G205" s="18">
        <f>43170+155489.57</f>
        <v>198659.57</v>
      </c>
      <c r="H205" s="18">
        <f>56109.08+1000</f>
        <v>57109.08</v>
      </c>
      <c r="I205" s="18">
        <v>54296.72</v>
      </c>
      <c r="J205" s="18"/>
      <c r="K205" s="18">
        <v>32158.63</v>
      </c>
      <c r="L205" s="19">
        <f t="shared" si="0"/>
        <v>701671.84999999986</v>
      </c>
      <c r="M205" s="8"/>
      <c r="N205" s="264"/>
    </row>
    <row r="206" spans="1:14" s="3" customFormat="1" ht="12.2" customHeight="1" x14ac:dyDescent="0.15">
      <c r="A206" s="1" t="s">
        <v>445</v>
      </c>
      <c r="B206" s="2" t="s">
        <v>341</v>
      </c>
      <c r="C206" s="2" t="s">
        <v>297</v>
      </c>
      <c r="D206" s="2" t="s">
        <v>431</v>
      </c>
      <c r="E206" s="6">
        <v>2400</v>
      </c>
      <c r="F206" s="18">
        <v>726529.65</v>
      </c>
      <c r="G206" s="18">
        <v>314281.43</v>
      </c>
      <c r="H206" s="18">
        <v>45844.88</v>
      </c>
      <c r="I206" s="18">
        <v>9320.5300000000007</v>
      </c>
      <c r="J206" s="18"/>
      <c r="K206" s="18">
        <v>2345</v>
      </c>
      <c r="L206" s="19">
        <f t="shared" si="0"/>
        <v>1098321.49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616212.05000000005</v>
      </c>
      <c r="G208" s="18">
        <v>266560.36</v>
      </c>
      <c r="H208" s="18">
        <f>444638.51-77752</f>
        <v>366886.51</v>
      </c>
      <c r="I208" s="18">
        <f>470038.24-77749.13</f>
        <v>392289.11</v>
      </c>
      <c r="J208" s="18">
        <v>110355.38</v>
      </c>
      <c r="K208" s="18"/>
      <c r="L208" s="19">
        <f t="shared" si="0"/>
        <v>1752303.4099999997</v>
      </c>
      <c r="M208" s="8"/>
      <c r="N208" s="264"/>
    </row>
    <row r="209" spans="1:14" s="3" customFormat="1" ht="12.2" customHeight="1" x14ac:dyDescent="0.15">
      <c r="A209" s="1" t="s">
        <v>448</v>
      </c>
      <c r="B209" s="2" t="s">
        <v>341</v>
      </c>
      <c r="C209" s="2" t="s">
        <v>300</v>
      </c>
      <c r="D209" s="2" t="s">
        <v>431</v>
      </c>
      <c r="E209" s="6">
        <v>2700</v>
      </c>
      <c r="F209" s="18"/>
      <c r="G209" s="18"/>
      <c r="H209" s="18">
        <v>1013660.73</v>
      </c>
      <c r="I209" s="18"/>
      <c r="J209" s="18"/>
      <c r="K209" s="18"/>
      <c r="L209" s="19">
        <f t="shared" si="0"/>
        <v>1013660.73</v>
      </c>
      <c r="M209" s="8"/>
      <c r="N209" s="264"/>
    </row>
    <row r="210" spans="1:14" s="3" customFormat="1" ht="12.2" customHeight="1" x14ac:dyDescent="0.15">
      <c r="A210" s="1" t="s">
        <v>449</v>
      </c>
      <c r="B210" s="2" t="s">
        <v>341</v>
      </c>
      <c r="C210" s="2" t="s">
        <v>343</v>
      </c>
      <c r="D210" s="2" t="s">
        <v>431</v>
      </c>
      <c r="E210" s="6">
        <v>2800</v>
      </c>
      <c r="F210" s="18">
        <v>45322.6</v>
      </c>
      <c r="G210" s="18">
        <v>19605.599999999999</v>
      </c>
      <c r="H210" s="18"/>
      <c r="I210" s="18"/>
      <c r="J210" s="18"/>
      <c r="K210" s="18">
        <v>679.25</v>
      </c>
      <c r="L210" s="19">
        <f>SUM(F210:K210)</f>
        <v>65607.45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11477011.160000002</v>
      </c>
      <c r="G212" s="41">
        <f t="shared" si="1"/>
        <v>5005514.04</v>
      </c>
      <c r="H212" s="41">
        <f t="shared" si="1"/>
        <v>2897205.12</v>
      </c>
      <c r="I212" s="41">
        <f t="shared" si="1"/>
        <v>821282.02</v>
      </c>
      <c r="J212" s="41">
        <f t="shared" si="1"/>
        <v>660016.99000000011</v>
      </c>
      <c r="K212" s="41">
        <f t="shared" si="1"/>
        <v>39458.49</v>
      </c>
      <c r="L212" s="41">
        <f t="shared" si="1"/>
        <v>20900487.82</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v>252805</v>
      </c>
      <c r="I254" s="18"/>
      <c r="J254" s="18"/>
      <c r="K254" s="18"/>
      <c r="L254" s="19">
        <f t="shared" si="6"/>
        <v>252805</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449616</v>
      </c>
      <c r="I256" s="18"/>
      <c r="J256" s="18"/>
      <c r="K256" s="18"/>
      <c r="L256" s="19">
        <f t="shared" si="6"/>
        <v>449616</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702421</v>
      </c>
      <c r="I257" s="41">
        <f t="shared" si="7"/>
        <v>0</v>
      </c>
      <c r="J257" s="41">
        <f t="shared" si="7"/>
        <v>0</v>
      </c>
      <c r="K257" s="41">
        <f t="shared" si="7"/>
        <v>0</v>
      </c>
      <c r="L257" s="41">
        <f>SUM(F257:K257)</f>
        <v>702421</v>
      </c>
      <c r="M257" s="8"/>
      <c r="N257" s="264"/>
    </row>
    <row r="258" spans="1:14" s="3" customFormat="1" ht="12.2" customHeight="1" thickTop="1" x14ac:dyDescent="0.15">
      <c r="A258" s="38" t="s">
        <v>462</v>
      </c>
      <c r="B258" s="40">
        <v>10</v>
      </c>
      <c r="C258" s="40">
        <v>8</v>
      </c>
      <c r="D258" s="39" t="s">
        <v>431</v>
      </c>
      <c r="E258" s="40"/>
      <c r="F258" s="41">
        <f t="shared" ref="F258:L258" si="8">F212+F230+F248+F257</f>
        <v>11477011.160000002</v>
      </c>
      <c r="G258" s="41">
        <f t="shared" si="8"/>
        <v>5005514.04</v>
      </c>
      <c r="H258" s="41">
        <f t="shared" si="8"/>
        <v>3599626.12</v>
      </c>
      <c r="I258" s="41">
        <f t="shared" si="8"/>
        <v>821282.02</v>
      </c>
      <c r="J258" s="41">
        <f t="shared" si="8"/>
        <v>660016.99000000011</v>
      </c>
      <c r="K258" s="41">
        <f t="shared" si="8"/>
        <v>39458.49</v>
      </c>
      <c r="L258" s="41">
        <f t="shared" si="8"/>
        <v>21602908.82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580000</v>
      </c>
      <c r="L261" s="19">
        <f>SUM(F261:K261)</f>
        <v>580000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920680</v>
      </c>
      <c r="L262" s="19">
        <f>SUM(F262:K262)</f>
        <v>920680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66690</v>
      </c>
      <c r="L264" s="19">
        <f>SUM(F264:K264)</f>
        <v>66690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1567370</v>
      </c>
      <c r="L271" s="41">
        <f t="shared" si="9"/>
        <v>1567370</v>
      </c>
      <c r="M271" s="8"/>
      <c r="N271" s="264"/>
    </row>
    <row r="272" spans="1:14" s="34" customFormat="1" ht="12.2" customHeight="1" thickTop="1" x14ac:dyDescent="0.2">
      <c r="A272" s="43" t="s">
        <v>464</v>
      </c>
      <c r="B272" s="40">
        <v>10</v>
      </c>
      <c r="C272" s="40">
        <v>18</v>
      </c>
      <c r="D272" s="39" t="s">
        <v>431</v>
      </c>
      <c r="E272" s="40"/>
      <c r="F272" s="42">
        <f t="shared" ref="F272:L272" si="11">F258+F271</f>
        <v>11477011.160000002</v>
      </c>
      <c r="G272" s="42">
        <f t="shared" si="11"/>
        <v>5005514.04</v>
      </c>
      <c r="H272" s="42">
        <f t="shared" si="11"/>
        <v>3599626.12</v>
      </c>
      <c r="I272" s="42">
        <f t="shared" si="11"/>
        <v>821282.02</v>
      </c>
      <c r="J272" s="42">
        <f t="shared" si="11"/>
        <v>660016.99000000011</v>
      </c>
      <c r="K272" s="42">
        <f t="shared" si="11"/>
        <v>1606828.49</v>
      </c>
      <c r="L272" s="42">
        <f t="shared" si="11"/>
        <v>23170278.82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45087</v>
      </c>
      <c r="G277" s="18"/>
      <c r="H277" s="18">
        <v>3450</v>
      </c>
      <c r="I277" s="18">
        <v>16837</v>
      </c>
      <c r="J277" s="18">
        <f>29938-454</f>
        <v>29484</v>
      </c>
      <c r="K277" s="18"/>
      <c r="L277" s="19">
        <f>SUM(F277:K277)</f>
        <v>94858</v>
      </c>
      <c r="M277" s="8"/>
      <c r="N277" s="264"/>
    </row>
    <row r="278" spans="1:14" s="3" customFormat="1" ht="12.2" customHeight="1" x14ac:dyDescent="0.15">
      <c r="A278" s="1" t="s">
        <v>439</v>
      </c>
      <c r="B278" s="2" t="s">
        <v>357</v>
      </c>
      <c r="C278" s="2" t="s">
        <v>291</v>
      </c>
      <c r="D278" s="2" t="s">
        <v>431</v>
      </c>
      <c r="E278" s="6">
        <v>1200</v>
      </c>
      <c r="F278" s="18">
        <v>172331</v>
      </c>
      <c r="G278" s="18">
        <v>365</v>
      </c>
      <c r="H278" s="18">
        <v>186685</v>
      </c>
      <c r="I278" s="18">
        <v>16802</v>
      </c>
      <c r="J278" s="18">
        <v>975</v>
      </c>
      <c r="K278" s="18"/>
      <c r="L278" s="19">
        <f>SUM(F278:K278)</f>
        <v>377158</v>
      </c>
      <c r="M278" s="8"/>
      <c r="N278" s="264"/>
    </row>
    <row r="279" spans="1:14" s="3" customFormat="1" ht="12.2" customHeight="1" x14ac:dyDescent="0.15">
      <c r="A279" s="1" t="s">
        <v>440</v>
      </c>
      <c r="B279" s="2" t="s">
        <v>357</v>
      </c>
      <c r="C279" s="2" t="s">
        <v>292</v>
      </c>
      <c r="D279" s="2" t="s">
        <v>431</v>
      </c>
      <c r="E279" s="6">
        <v>1300</v>
      </c>
      <c r="F279" s="18" t="s">
        <v>1674</v>
      </c>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v>10909</v>
      </c>
      <c r="K282" s="18"/>
      <c r="L282" s="19">
        <f t="shared" ref="L282:L288" si="12">SUM(F282:K282)</f>
        <v>10909</v>
      </c>
      <c r="M282" s="8"/>
      <c r="N282" s="264"/>
    </row>
    <row r="283" spans="1:14" s="3" customFormat="1" ht="12.2" customHeight="1" x14ac:dyDescent="0.15">
      <c r="A283" s="1" t="s">
        <v>443</v>
      </c>
      <c r="B283" s="2" t="s">
        <v>357</v>
      </c>
      <c r="C283" s="2" t="s">
        <v>295</v>
      </c>
      <c r="D283" s="2" t="s">
        <v>431</v>
      </c>
      <c r="E283" s="6">
        <v>2200</v>
      </c>
      <c r="F283" s="18">
        <v>34822</v>
      </c>
      <c r="G283" s="18">
        <v>1414</v>
      </c>
      <c r="H283" s="18">
        <v>56363</v>
      </c>
      <c r="I283" s="18">
        <v>19098</v>
      </c>
      <c r="J283" s="18">
        <v>46296</v>
      </c>
      <c r="K283" s="18"/>
      <c r="L283" s="19">
        <f t="shared" si="12"/>
        <v>157993</v>
      </c>
      <c r="M283" s="8"/>
      <c r="N283" s="264"/>
    </row>
    <row r="284" spans="1:14" s="3" customFormat="1" ht="12.2" customHeight="1" x14ac:dyDescent="0.15">
      <c r="A284" s="1" t="s">
        <v>444</v>
      </c>
      <c r="B284" s="2" t="s">
        <v>357</v>
      </c>
      <c r="C284" s="2" t="s">
        <v>296</v>
      </c>
      <c r="D284" s="2" t="s">
        <v>431</v>
      </c>
      <c r="E284" s="6">
        <v>2300</v>
      </c>
      <c r="F284" s="18">
        <v>819</v>
      </c>
      <c r="G284" s="18"/>
      <c r="H284" s="18"/>
      <c r="I284" s="18"/>
      <c r="J284" s="18"/>
      <c r="K284" s="18">
        <v>825</v>
      </c>
      <c r="L284" s="19">
        <f t="shared" si="12"/>
        <v>1644</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v>21142</v>
      </c>
      <c r="I288" s="18"/>
      <c r="J288" s="18"/>
      <c r="K288" s="18"/>
      <c r="L288" s="19">
        <f t="shared" si="12"/>
        <v>21142</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253059</v>
      </c>
      <c r="G291" s="42">
        <f t="shared" si="13"/>
        <v>1779</v>
      </c>
      <c r="H291" s="42">
        <f t="shared" si="13"/>
        <v>267640</v>
      </c>
      <c r="I291" s="42">
        <f t="shared" si="13"/>
        <v>52737</v>
      </c>
      <c r="J291" s="42">
        <f t="shared" si="13"/>
        <v>87664</v>
      </c>
      <c r="K291" s="42">
        <f t="shared" si="13"/>
        <v>825</v>
      </c>
      <c r="L291" s="41">
        <f t="shared" si="13"/>
        <v>663704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253059</v>
      </c>
      <c r="G339" s="41">
        <f t="shared" si="20"/>
        <v>1779</v>
      </c>
      <c r="H339" s="41">
        <f t="shared" si="20"/>
        <v>267640</v>
      </c>
      <c r="I339" s="41">
        <f t="shared" si="20"/>
        <v>52737</v>
      </c>
      <c r="J339" s="41">
        <f t="shared" si="20"/>
        <v>87664</v>
      </c>
      <c r="K339" s="41">
        <f t="shared" si="20"/>
        <v>825</v>
      </c>
      <c r="L339" s="41">
        <f t="shared" si="20"/>
        <v>663704</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253059</v>
      </c>
      <c r="G353" s="41">
        <f>G339</f>
        <v>1779</v>
      </c>
      <c r="H353" s="41">
        <f>H339</f>
        <v>267640</v>
      </c>
      <c r="I353" s="41">
        <f>I339</f>
        <v>52737</v>
      </c>
      <c r="J353" s="41">
        <f>J339</f>
        <v>87664</v>
      </c>
      <c r="K353" s="47">
        <f>K339+K352</f>
        <v>825</v>
      </c>
      <c r="L353" s="41">
        <f>L339+L352</f>
        <v>663704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212729</v>
      </c>
      <c r="G359" s="18"/>
      <c r="H359" s="18">
        <v>6879</v>
      </c>
      <c r="I359" s="18">
        <f>131378</f>
        <v>131378</v>
      </c>
      <c r="J359" s="18">
        <v>4963</v>
      </c>
      <c r="K359" s="18">
        <f>28468+1390</f>
        <v>29858</v>
      </c>
      <c r="L359" s="13">
        <f>SUM(F359:K359)</f>
        <v>385807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212729</v>
      </c>
      <c r="G363" s="47">
        <f t="shared" si="22"/>
        <v>0</v>
      </c>
      <c r="H363" s="47">
        <f t="shared" si="22"/>
        <v>6879</v>
      </c>
      <c r="I363" s="47">
        <f t="shared" si="22"/>
        <v>131378</v>
      </c>
      <c r="J363" s="47">
        <f t="shared" si="22"/>
        <v>4963</v>
      </c>
      <c r="K363" s="47">
        <f t="shared" si="22"/>
        <v>29858</v>
      </c>
      <c r="L363" s="47">
        <f t="shared" si="22"/>
        <v>385807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131378</v>
      </c>
      <c r="G368" s="18"/>
      <c r="H368" s="18"/>
      <c r="I368" s="56">
        <f>SUM(F368:H368)</f>
        <v>131378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131378</v>
      </c>
      <c r="G370" s="47">
        <f>SUM(G368:G369)</f>
        <v>0</v>
      </c>
      <c r="H370" s="47">
        <f>SUM(H368:H369)</f>
        <v>0</v>
      </c>
      <c r="I370" s="47">
        <f>SUM(I368:I369)</f>
        <v>131378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f>12919+11823</f>
        <v>24742</v>
      </c>
      <c r="K380" s="18"/>
      <c r="L380" s="13">
        <f t="shared" si="23"/>
        <v>24742</v>
      </c>
      <c r="M380" s="8"/>
      <c r="N380" s="264"/>
    </row>
    <row r="381" spans="1:14" s="3" customFormat="1" ht="12.2" customHeight="1" x14ac:dyDescent="0.15">
      <c r="A381" s="1" t="s">
        <v>510</v>
      </c>
      <c r="B381" s="2" t="s">
        <v>366</v>
      </c>
      <c r="C381" s="2" t="s">
        <v>347</v>
      </c>
      <c r="D381" s="2" t="s">
        <v>431</v>
      </c>
      <c r="E381" s="6">
        <v>4900</v>
      </c>
      <c r="F381" s="18"/>
      <c r="G381" s="18"/>
      <c r="H381" s="18"/>
      <c r="I381" s="18"/>
      <c r="J381" s="18">
        <v>1445</v>
      </c>
      <c r="K381" s="18"/>
      <c r="L381" s="13">
        <f t="shared" si="23"/>
        <v>1445</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312958</v>
      </c>
      <c r="L382" s="13">
        <f t="shared" si="23"/>
        <v>312958</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26187</v>
      </c>
      <c r="K383" s="47">
        <f t="shared" si="24"/>
        <v>312958</v>
      </c>
      <c r="L383" s="47">
        <f t="shared" si="24"/>
        <v>339145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648578.23+172951.82+88641.77</f>
        <v>910171.82000000007</v>
      </c>
      <c r="G466" s="18">
        <v>-9936</v>
      </c>
      <c r="H466" s="18">
        <v>0</v>
      </c>
      <c r="I466" s="18">
        <v>338177</v>
      </c>
      <c r="J466" s="18"/>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23754178</f>
        <v>23754178</v>
      </c>
      <c r="G469" s="18">
        <f>395743</f>
        <v>395743</v>
      </c>
      <c r="H469" s="18">
        <v>663704</v>
      </c>
      <c r="I469" s="18">
        <v>968</v>
      </c>
      <c r="J469" s="18"/>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23754178</v>
      </c>
      <c r="G471" s="53">
        <f>SUM(G469:G470)</f>
        <v>395743</v>
      </c>
      <c r="H471" s="53">
        <f>SUM(H469:H470)</f>
        <v>663704</v>
      </c>
      <c r="I471" s="53">
        <f>SUM(I469:I470)</f>
        <v>968</v>
      </c>
      <c r="J471" s="53">
        <f>SUM(J469:J470)</f>
        <v>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23170278.82</v>
      </c>
      <c r="G473" s="18">
        <v>385807</v>
      </c>
      <c r="H473" s="18">
        <v>663704</v>
      </c>
      <c r="I473" s="18">
        <v>339145</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23170278.82</v>
      </c>
      <c r="G475" s="53">
        <f>SUM(G473:G474)</f>
        <v>385807</v>
      </c>
      <c r="H475" s="53">
        <f>SUM(H473:H474)</f>
        <v>663704</v>
      </c>
      <c r="I475" s="53">
        <f>SUM(I473:I474)</f>
        <v>339145</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1494071</v>
      </c>
      <c r="G477" s="53">
        <f>(G466+G471)- G475</f>
        <v>0</v>
      </c>
      <c r="H477" s="53">
        <f>(H466+H471)- H475</f>
        <v>0</v>
      </c>
      <c r="I477" s="53">
        <f>(I466+I471)- I475</f>
        <v>0</v>
      </c>
      <c r="J477" s="53">
        <f>(J466+J471)- J475</f>
        <v>0</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25</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23701700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3.15</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22620000</v>
      </c>
      <c r="G496" s="18"/>
      <c r="H496" s="18"/>
      <c r="I496" s="18"/>
      <c r="J496" s="18"/>
      <c r="K496" s="53">
        <f>SUM(F496:J496)</f>
        <v>22620000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f>F496</f>
        <v>22620000</v>
      </c>
      <c r="G498" s="18"/>
      <c r="H498" s="18"/>
      <c r="I498" s="18"/>
      <c r="J498" s="18"/>
      <c r="K498" s="53">
        <f t="shared" si="35"/>
        <v>22620000</v>
      </c>
      <c r="L498" s="24" t="s">
        <v>288</v>
      </c>
      <c r="N498" s="263"/>
    </row>
    <row r="499" spans="1:14" s="52" customFormat="1" ht="12.2" customHeight="1" x14ac:dyDescent="0.2">
      <c r="A499" s="200" t="s">
        <v>622</v>
      </c>
      <c r="B499" s="201">
        <v>20</v>
      </c>
      <c r="C499" s="202">
        <v>9</v>
      </c>
      <c r="D499" s="203" t="s">
        <v>432</v>
      </c>
      <c r="E499" s="202"/>
      <c r="F499" s="204">
        <f>22620000-580000</f>
        <v>22040000</v>
      </c>
      <c r="G499" s="204"/>
      <c r="H499" s="204"/>
      <c r="I499" s="204"/>
      <c r="J499" s="204"/>
      <c r="K499" s="205">
        <f t="shared" si="35"/>
        <v>22040000</v>
      </c>
      <c r="L499" s="206" t="s">
        <v>288</v>
      </c>
      <c r="N499" s="263"/>
    </row>
    <row r="500" spans="1:14" s="52" customFormat="1" ht="12.2" customHeight="1" thickBot="1" x14ac:dyDescent="0.25">
      <c r="A500" s="22" t="s">
        <v>623</v>
      </c>
      <c r="B500" s="75">
        <v>20</v>
      </c>
      <c r="C500" s="115">
        <v>10</v>
      </c>
      <c r="D500" s="2" t="s">
        <v>432</v>
      </c>
      <c r="E500" s="115"/>
      <c r="F500" s="18">
        <f>12171549.7-920680</f>
        <v>11250869.699999999</v>
      </c>
      <c r="G500" s="18"/>
      <c r="H500" s="18"/>
      <c r="I500" s="18"/>
      <c r="J500" s="18"/>
      <c r="K500" s="53">
        <f t="shared" si="35"/>
        <v>11250869.699999999</v>
      </c>
      <c r="L500" s="24" t="s">
        <v>288</v>
      </c>
      <c r="N500" s="263"/>
    </row>
    <row r="501" spans="1:14" s="52" customFormat="1" ht="12.2" customHeight="1" thickTop="1" x14ac:dyDescent="0.2">
      <c r="A501" s="139" t="s">
        <v>624</v>
      </c>
      <c r="B501" s="44">
        <v>20</v>
      </c>
      <c r="C501" s="195">
        <v>11</v>
      </c>
      <c r="D501" s="39" t="s">
        <v>432</v>
      </c>
      <c r="E501" s="195"/>
      <c r="F501" s="42">
        <f>SUM(F499:F500)</f>
        <v>33290869.699999999</v>
      </c>
      <c r="G501" s="42">
        <f>SUM(G499:G500)</f>
        <v>0</v>
      </c>
      <c r="H501" s="42">
        <f>SUM(H499:H500)</f>
        <v>0</v>
      </c>
      <c r="I501" s="42">
        <f>SUM(I499:I500)</f>
        <v>0</v>
      </c>
      <c r="J501" s="42">
        <f>SUM(J499:J500)</f>
        <v>0</v>
      </c>
      <c r="K501" s="42">
        <f t="shared" si="35"/>
        <v>33290869.699999999</v>
      </c>
      <c r="L501" s="45" t="s">
        <v>288</v>
      </c>
      <c r="N501" s="263"/>
    </row>
    <row r="502" spans="1:14" s="52" customFormat="1" ht="12.2" customHeight="1" x14ac:dyDescent="0.2">
      <c r="A502" s="200" t="s">
        <v>651</v>
      </c>
      <c r="B502" s="201">
        <v>20</v>
      </c>
      <c r="C502" s="202">
        <v>12</v>
      </c>
      <c r="D502" s="203" t="s">
        <v>432</v>
      </c>
      <c r="E502" s="202"/>
      <c r="F502" s="204">
        <v>580000</v>
      </c>
      <c r="G502" s="204"/>
      <c r="H502" s="204"/>
      <c r="I502" s="204"/>
      <c r="J502" s="204"/>
      <c r="K502" s="205">
        <f t="shared" si="35"/>
        <v>580000</v>
      </c>
      <c r="L502" s="206" t="s">
        <v>288</v>
      </c>
      <c r="N502" s="263"/>
    </row>
    <row r="503" spans="1:14" s="52" customFormat="1" ht="12.2" customHeight="1" thickBot="1" x14ac:dyDescent="0.25">
      <c r="A503" s="22" t="s">
        <v>625</v>
      </c>
      <c r="B503" s="75">
        <v>20</v>
      </c>
      <c r="C503" s="115">
        <v>13</v>
      </c>
      <c r="D503" s="2" t="s">
        <v>432</v>
      </c>
      <c r="E503" s="115"/>
      <c r="F503" s="18">
        <v>920680</v>
      </c>
      <c r="G503" s="18"/>
      <c r="H503" s="18"/>
      <c r="I503" s="18"/>
      <c r="J503" s="18"/>
      <c r="K503" s="53">
        <f t="shared" si="35"/>
        <v>920680</v>
      </c>
      <c r="L503" s="24" t="s">
        <v>288</v>
      </c>
      <c r="N503" s="263"/>
    </row>
    <row r="504" spans="1:14" s="52" customFormat="1" ht="12.2" customHeight="1" thickTop="1" x14ac:dyDescent="0.2">
      <c r="A504" s="139" t="s">
        <v>626</v>
      </c>
      <c r="B504" s="44">
        <v>20</v>
      </c>
      <c r="C504" s="195">
        <v>14</v>
      </c>
      <c r="D504" s="39" t="s">
        <v>432</v>
      </c>
      <c r="E504" s="195"/>
      <c r="F504" s="42">
        <f>SUM(F502:F503)</f>
        <v>1500680</v>
      </c>
      <c r="G504" s="42">
        <f>SUM(G502:G503)</f>
        <v>0</v>
      </c>
      <c r="H504" s="42">
        <f>SUM(H502:H503)</f>
        <v>0</v>
      </c>
      <c r="I504" s="42">
        <f>SUM(I502:I503)</f>
        <v>0</v>
      </c>
      <c r="J504" s="42">
        <f>SUM(J502:J503)</f>
        <v>0</v>
      </c>
      <c r="K504" s="42">
        <f t="shared" si="35"/>
        <v>1500680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281836.55</f>
        <v>281836.55</v>
      </c>
      <c r="G522" s="18">
        <f>121894.07</f>
        <v>121894.07</v>
      </c>
      <c r="H522" s="18">
        <f>899545.17</f>
        <v>899545.17</v>
      </c>
      <c r="I522" s="18">
        <f>19752.3</f>
        <v>19752.3</v>
      </c>
      <c r="J522" s="18">
        <f>1523.99</f>
        <v>1523.99</v>
      </c>
      <c r="K522" s="18">
        <f>1685.61</f>
        <v>1685.61</v>
      </c>
      <c r="L522" s="88">
        <f>SUM(F522:K522)</f>
        <v>1326237.6900000002</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281836.55</v>
      </c>
      <c r="G525" s="108">
        <f t="shared" ref="G525:L525" si="36">SUM(G522:G524)</f>
        <v>121894.07</v>
      </c>
      <c r="H525" s="108">
        <f t="shared" si="36"/>
        <v>899545.17</v>
      </c>
      <c r="I525" s="108">
        <f t="shared" si="36"/>
        <v>19752.3</v>
      </c>
      <c r="J525" s="108">
        <f t="shared" si="36"/>
        <v>1523.99</v>
      </c>
      <c r="K525" s="108">
        <f t="shared" si="36"/>
        <v>1685.61</v>
      </c>
      <c r="L525" s="89">
        <f t="shared" si="36"/>
        <v>1326237.6900000002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388539.01</f>
        <v>388539.01</v>
      </c>
      <c r="G527" s="18">
        <v>168043.11</v>
      </c>
      <c r="H527" s="18">
        <f>32342.5</f>
        <v>32342.5</v>
      </c>
      <c r="I527" s="18"/>
      <c r="J527" s="18"/>
      <c r="K527" s="18"/>
      <c r="L527" s="88">
        <f>SUM(F527:K527)</f>
        <v>588924.62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388539.01</v>
      </c>
      <c r="G530" s="89">
        <f t="shared" ref="G530:L530" si="37">SUM(G527:G529)</f>
        <v>168043.11</v>
      </c>
      <c r="H530" s="89">
        <f t="shared" si="37"/>
        <v>32342.5</v>
      </c>
      <c r="I530" s="89">
        <f t="shared" si="37"/>
        <v>0</v>
      </c>
      <c r="J530" s="89">
        <f t="shared" si="37"/>
        <v>0</v>
      </c>
      <c r="K530" s="89">
        <f t="shared" si="37"/>
        <v>0</v>
      </c>
      <c r="L530" s="89">
        <f t="shared" si="37"/>
        <v>588924.62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170649.68</v>
      </c>
      <c r="G532" s="18">
        <v>73819.45</v>
      </c>
      <c r="H532" s="18"/>
      <c r="I532" s="18"/>
      <c r="J532" s="18"/>
      <c r="K532" s="18"/>
      <c r="L532" s="88">
        <f>SUM(F532:K532)</f>
        <v>244469.13</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170649.68</v>
      </c>
      <c r="G535" s="89">
        <f t="shared" ref="G535:L535" si="38">SUM(G532:G534)</f>
        <v>73819.45</v>
      </c>
      <c r="H535" s="89">
        <f t="shared" si="38"/>
        <v>0</v>
      </c>
      <c r="I535" s="89">
        <f t="shared" si="38"/>
        <v>0</v>
      </c>
      <c r="J535" s="89">
        <f t="shared" si="38"/>
        <v>0</v>
      </c>
      <c r="K535" s="89">
        <f t="shared" si="38"/>
        <v>0</v>
      </c>
      <c r="L535" s="89">
        <f t="shared" si="38"/>
        <v>244469.13</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175054+74675+98300</f>
        <v>348029</v>
      </c>
      <c r="I542" s="18"/>
      <c r="J542" s="18"/>
      <c r="K542" s="18"/>
      <c r="L542" s="88">
        <f>SUM(F542:K542)</f>
        <v>348029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348029</v>
      </c>
      <c r="I545" s="193">
        <f t="shared" si="40"/>
        <v>0</v>
      </c>
      <c r="J545" s="193">
        <f t="shared" si="40"/>
        <v>0</v>
      </c>
      <c r="K545" s="193">
        <f t="shared" si="40"/>
        <v>0</v>
      </c>
      <c r="L545" s="193">
        <f t="shared" si="40"/>
        <v>348029</v>
      </c>
      <c r="M545" s="8"/>
      <c r="N545" s="264"/>
    </row>
    <row r="546" spans="1:14" s="3" customFormat="1" ht="12.2" customHeight="1" thickTop="1" x14ac:dyDescent="0.15">
      <c r="A546" s="98" t="s">
        <v>72</v>
      </c>
      <c r="B546" s="107">
        <v>21</v>
      </c>
      <c r="C546" s="107">
        <v>21</v>
      </c>
      <c r="D546" s="158" t="s">
        <v>432</v>
      </c>
      <c r="E546" s="107"/>
      <c r="F546" s="89">
        <f>F525+F530+F535+F540+F545</f>
        <v>841025.24</v>
      </c>
      <c r="G546" s="89">
        <f t="shared" ref="G546:L546" si="41">G525+G530+G535+G540+G545</f>
        <v>363756.63</v>
      </c>
      <c r="H546" s="89">
        <f t="shared" si="41"/>
        <v>1279916.67</v>
      </c>
      <c r="I546" s="89">
        <f t="shared" si="41"/>
        <v>19752.3</v>
      </c>
      <c r="J546" s="89">
        <f t="shared" si="41"/>
        <v>1523.99</v>
      </c>
      <c r="K546" s="89">
        <f t="shared" si="41"/>
        <v>1685.61</v>
      </c>
      <c r="L546" s="89">
        <f t="shared" si="41"/>
        <v>2507660.44</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1326237.6900000002</v>
      </c>
      <c r="G550" s="87">
        <f>L527</f>
        <v>588924.62</v>
      </c>
      <c r="H550" s="87">
        <f>L532</f>
        <v>244469.13</v>
      </c>
      <c r="I550" s="87">
        <f>L537</f>
        <v>0</v>
      </c>
      <c r="J550" s="87">
        <f>L542</f>
        <v>348029</v>
      </c>
      <c r="K550" s="87">
        <f>SUM(F550:J550)</f>
        <v>2507660.44</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1326237.6900000002</v>
      </c>
      <c r="G553" s="89">
        <f t="shared" si="42"/>
        <v>588924.62</v>
      </c>
      <c r="H553" s="89">
        <f t="shared" si="42"/>
        <v>244469.13</v>
      </c>
      <c r="I553" s="89">
        <f t="shared" si="42"/>
        <v>0</v>
      </c>
      <c r="J553" s="89">
        <f t="shared" si="42"/>
        <v>348029</v>
      </c>
      <c r="K553" s="89">
        <f t="shared" si="42"/>
        <v>2507660.44</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10164.77</v>
      </c>
      <c r="G580" s="18"/>
      <c r="H580" s="18"/>
      <c r="I580" s="87">
        <f t="shared" si="47"/>
        <v>10164.77</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876572.78-10164.77</f>
        <v>866408.01</v>
      </c>
      <c r="G583" s="18"/>
      <c r="H583" s="18"/>
      <c r="I583" s="87">
        <f t="shared" si="47"/>
        <v>866408.01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651410.81999999995</v>
      </c>
      <c r="I592" s="18"/>
      <c r="J592" s="18"/>
      <c r="K592" s="104">
        <f t="shared" ref="K592:K598" si="48">SUM(H592:J592)</f>
        <v>651410.81999999995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348030.36</v>
      </c>
      <c r="I593" s="18"/>
      <c r="J593" s="18"/>
      <c r="K593" s="104">
        <f t="shared" si="48"/>
        <v>348030.36</v>
      </c>
      <c r="L593" s="24" t="s">
        <v>288</v>
      </c>
      <c r="M593" s="8"/>
      <c r="N593" s="264"/>
    </row>
    <row r="594" spans="1:14" s="3" customFormat="1" ht="12.2" customHeight="1" x14ac:dyDescent="0.15">
      <c r="A594" s="3" t="s">
        <v>639</v>
      </c>
      <c r="B594" s="75">
        <v>23</v>
      </c>
      <c r="C594" s="75">
        <v>3</v>
      </c>
      <c r="D594" s="2" t="s">
        <v>432</v>
      </c>
      <c r="E594" s="75"/>
      <c r="F594" s="102">
        <v>2723</v>
      </c>
      <c r="G594" s="103" t="s">
        <v>97</v>
      </c>
      <c r="H594" s="18">
        <v>14219.55</v>
      </c>
      <c r="I594" s="18"/>
      <c r="J594" s="18"/>
      <c r="K594" s="104">
        <f t="shared" si="48"/>
        <v>14219.55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1013660.73</v>
      </c>
      <c r="I599" s="108">
        <f>SUM(I592:I598)</f>
        <v>0</v>
      </c>
      <c r="J599" s="108">
        <f>SUM(J592:J598)</f>
        <v>0</v>
      </c>
      <c r="K599" s="108">
        <f>SUM(K592:K598)</f>
        <v>1013660.73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747680.99</v>
      </c>
      <c r="I605" s="18"/>
      <c r="J605" s="18"/>
      <c r="K605" s="104">
        <f>SUM(H605:J605)</f>
        <v>747680.99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747680.99</v>
      </c>
      <c r="I606" s="108">
        <f>SUM(I603:I605)</f>
        <v>0</v>
      </c>
      <c r="J606" s="108">
        <f>SUM(J603:J605)</f>
        <v>0</v>
      </c>
      <c r="K606" s="108">
        <f>SUM(K603:K605)</f>
        <v>747680.99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1583101</v>
      </c>
      <c r="H618" s="109">
        <f>SUM(F52)</f>
        <v>1583101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31632</v>
      </c>
      <c r="H619" s="109">
        <f>SUM(G52)</f>
        <v>31632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237728</v>
      </c>
      <c r="H620" s="109">
        <f>SUM(H52)</f>
        <v>237728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1494071</v>
      </c>
      <c r="H623" s="109">
        <f>F477</f>
        <v>1494071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23754178</v>
      </c>
      <c r="H628" s="104">
        <f>SUM(F469)</f>
        <v>23754178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395743</v>
      </c>
      <c r="H629" s="104">
        <f>SUM(G469)</f>
        <v>395743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663704</v>
      </c>
      <c r="H630" s="104">
        <f>SUM(H469)</f>
        <v>663704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968</v>
      </c>
      <c r="H631" s="104">
        <f>SUM(I469)</f>
        <v>968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23170278.82</v>
      </c>
      <c r="H633" s="104">
        <f>SUM(F473)</f>
        <v>23170278.82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663704</v>
      </c>
      <c r="H634" s="104">
        <f>SUM(H473)</f>
        <v>663704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131378</v>
      </c>
      <c r="H635" s="104">
        <f>I370</f>
        <v>131378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385807</v>
      </c>
      <c r="H636" s="104">
        <f>SUM(G473)</f>
        <v>385807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339145</v>
      </c>
      <c r="H637" s="104">
        <f>SUM(I473)</f>
        <v>339145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1013660.73</v>
      </c>
      <c r="H648" s="104">
        <f>L209+L227+L245</f>
        <v>1013660.73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747680.99</v>
      </c>
      <c r="H649" s="104">
        <f>(J258+J339)-(J256+J337)</f>
        <v>747680.99000000011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1013660.73</v>
      </c>
      <c r="H650" s="104">
        <f>H599</f>
        <v>1013660.73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66690</v>
      </c>
      <c r="H653" s="104">
        <f>K264+K346</f>
        <v>66690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21949998.82</v>
      </c>
      <c r="G661" s="19">
        <f>(L230+L310+L360)</f>
        <v>0</v>
      </c>
      <c r="H661" s="19">
        <f>(L248+L329+L361)</f>
        <v>0</v>
      </c>
      <c r="I661" s="19">
        <f>SUM(F661:H661)</f>
        <v>21949998.82</v>
      </c>
      <c r="J661" s="13"/>
      <c r="K661" s="13"/>
      <c r="L661" s="13"/>
      <c r="M661" s="9"/>
    </row>
    <row r="662" spans="1:13" s="3" customFormat="1" ht="12.2" customHeight="1" x14ac:dyDescent="0.2">
      <c r="A662" s="1" t="s">
        <v>127</v>
      </c>
      <c r="F662" s="19">
        <f>(L359/IF(SUM(L359:L361)=0,1,SUM(L359:L361))*(SUM(G97:G110)))</f>
        <v>8142</v>
      </c>
      <c r="G662" s="19">
        <f>(L360/IF(SUM(L359:L361)=0,1,SUM(L359:L361))*(SUM(G97:G110)))</f>
        <v>0</v>
      </c>
      <c r="H662" s="19">
        <f>(L361/IF(SUM(L359:L361)=0,1,SUM(L359:L361))*(SUM(G97:G110)))</f>
        <v>0</v>
      </c>
      <c r="I662" s="19">
        <f>SUM(F662:H662)</f>
        <v>8142</v>
      </c>
      <c r="J662"/>
      <c r="K662" s="13"/>
      <c r="L662" s="13"/>
      <c r="M662" s="8"/>
    </row>
    <row r="663" spans="1:13" s="3" customFormat="1" ht="12.2" customHeight="1" x14ac:dyDescent="0.2">
      <c r="A663" s="1" t="s">
        <v>128</v>
      </c>
      <c r="F663" s="19">
        <f>(L209+L288)-(J209+J288)</f>
        <v>1034802.73</v>
      </c>
      <c r="G663" s="19">
        <f>(L227+L307)-(J227+J307)</f>
        <v>0</v>
      </c>
      <c r="H663" s="19">
        <f>(L245+L326)-(J245+J326)</f>
        <v>0</v>
      </c>
      <c r="I663" s="19">
        <f>SUM(F663:H663)</f>
        <v>1034802.73</v>
      </c>
      <c r="J663"/>
      <c r="K663" s="13"/>
      <c r="L663" s="13"/>
      <c r="M663" s="9"/>
    </row>
    <row r="664" spans="1:13" s="3" customFormat="1" ht="12.2" customHeight="1" x14ac:dyDescent="0.15">
      <c r="A664" s="198" t="s">
        <v>129</v>
      </c>
      <c r="B664" s="169"/>
      <c r="C664" s="169"/>
      <c r="D664" s="169"/>
      <c r="E664" s="169"/>
      <c r="F664" s="199">
        <f>SUM(F576:F588)+SUM(H603:H605)+SUM(L612)</f>
        <v>1624253.77</v>
      </c>
      <c r="G664" s="199">
        <f>SUM(G576:G588)+SUM(I603:I605)+L613</f>
        <v>0</v>
      </c>
      <c r="H664" s="199">
        <f>SUM(H576:H588)+SUM(J603:J605)+L614</f>
        <v>0</v>
      </c>
      <c r="I664" s="19">
        <f>SUM(F664:H664)</f>
        <v>1624253.77</v>
      </c>
      <c r="J664" s="13"/>
      <c r="K664" s="13"/>
      <c r="L664" s="13"/>
      <c r="M664" s="9"/>
    </row>
    <row r="665" spans="1:13" s="3" customFormat="1" ht="12.2" customHeight="1" x14ac:dyDescent="0.15">
      <c r="A665" s="1" t="s">
        <v>130</v>
      </c>
      <c r="F665" s="19">
        <f>F661-SUM(F662:F664)</f>
        <v>19282800.32</v>
      </c>
      <c r="G665" s="19">
        <f>G661-SUM(G662:G664)</f>
        <v>0</v>
      </c>
      <c r="H665" s="19">
        <f>H661-SUM(H662:H664)</f>
        <v>0</v>
      </c>
      <c r="I665" s="19">
        <f>I661-SUM(I662:I664)</f>
        <v>19282800.32</v>
      </c>
      <c r="J665" s="13"/>
      <c r="K665" s="13"/>
      <c r="L665" s="13"/>
      <c r="M665" s="8"/>
    </row>
    <row r="666" spans="1:13" s="3" customFormat="1" ht="12.2" customHeight="1" x14ac:dyDescent="0.25">
      <c r="A666" s="1" t="s">
        <v>131</v>
      </c>
      <c r="F666" s="391">
        <v>940.19</v>
      </c>
      <c r="G666" s="391">
        <v>0</v>
      </c>
      <c r="H666" s="391">
        <v>0</v>
      </c>
      <c r="I666" s="19">
        <f>SUM(F666:H666)</f>
        <v>940.19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20509.47</v>
      </c>
      <c r="G668" s="19" t="e">
        <f>ROUND(G665/G666,2)</f>
        <v>#DIV/0!</v>
      </c>
      <c r="H668" s="19" t="e">
        <f>ROUND(H665/H666,2)</f>
        <v>#DIV/0!</v>
      </c>
      <c r="I668" s="19">
        <f>ROUND(I665/I666,2)</f>
        <v>20509.47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20509.47</v>
      </c>
      <c r="G673" s="19" t="e">
        <f>ROUND((G665+G670)/(G666+G671),2)</f>
        <v>#DIV/0!</v>
      </c>
      <c r="H673" s="19" t="e">
        <f>ROUND((H665+H670)/(H666+H671),2)</f>
        <v>#DIV/0!</v>
      </c>
      <c r="I673" s="19">
        <f>ROUND((I665+I670)/(I666+I671),2)</f>
        <v>20509.47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B7" zoomScaleNormal="100" workbookViewId="0">
      <selection activeCell="H31" sqref="H31"/>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88642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252805.7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126384.13</v>
      </c>
      <c r="F22" s="346"/>
    </row>
    <row r="23" spans="2:8" x14ac:dyDescent="0.25">
      <c r="B23" s="346"/>
      <c r="C23" s="346"/>
      <c r="D23" s="346"/>
      <c r="E23" s="346"/>
      <c r="F23" s="346"/>
    </row>
    <row r="24" spans="2:8" ht="26.25" customHeight="1" x14ac:dyDescent="0.25">
      <c r="B24" s="346"/>
      <c r="C24" s="348" t="s">
        <v>1661</v>
      </c>
      <c r="D24" s="346"/>
      <c r="E24" s="341">
        <v>15698.86</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199364.5</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2"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1" t="str">
        <f>'DOE25'!A2</f>
        <v>Hampton</v>
      </c>
      <c r="C5" s="362"/>
      <c r="D5" s="362"/>
      <c r="E5" s="362"/>
      <c r="F5" s="362"/>
    </row>
    <row r="8" spans="1:9" ht="18" x14ac:dyDescent="0.25">
      <c r="A8" s="317" t="s">
        <v>1576</v>
      </c>
      <c r="F8" s="324" t="s">
        <v>1594</v>
      </c>
    </row>
    <row r="9" spans="1:9" ht="15" x14ac:dyDescent="0.2">
      <c r="A9" s="315" t="s">
        <v>1577</v>
      </c>
      <c r="B9" s="318">
        <f>'DOE25'!G97</f>
        <v>8142</v>
      </c>
      <c r="F9" s="315" t="s">
        <v>1590</v>
      </c>
    </row>
    <row r="10" spans="1:9" ht="15" x14ac:dyDescent="0.2">
      <c r="A10" s="315" t="s">
        <v>1578</v>
      </c>
      <c r="B10" s="318">
        <f>'DOE25'!G112-'DOE25'!G97</f>
        <v>0</v>
      </c>
      <c r="F10" s="315" t="s">
        <v>1591</v>
      </c>
    </row>
    <row r="11" spans="1:9" ht="15" x14ac:dyDescent="0.2">
      <c r="A11" s="315" t="s">
        <v>1579</v>
      </c>
      <c r="B11" s="318">
        <f>'DOE25'!G140</f>
        <v>6796</v>
      </c>
      <c r="F11" s="315" t="s">
        <v>1592</v>
      </c>
    </row>
    <row r="12" spans="1:9" ht="15" x14ac:dyDescent="0.2">
      <c r="A12" s="315" t="s">
        <v>1580</v>
      </c>
      <c r="B12" s="318">
        <f>'DOE25'!G170</f>
        <v>314115</v>
      </c>
      <c r="F12" s="315" t="s">
        <v>1593</v>
      </c>
    </row>
    <row r="13" spans="1:9" ht="15" x14ac:dyDescent="0.2">
      <c r="A13" s="315" t="s">
        <v>1581</v>
      </c>
      <c r="B13" s="318">
        <f>'DOE25'!G193-'DOE25'!G180</f>
        <v>0</v>
      </c>
      <c r="F13" s="315" t="s">
        <v>1603</v>
      </c>
    </row>
    <row r="14" spans="1:9" ht="18" x14ac:dyDescent="0.25">
      <c r="A14" s="317" t="s">
        <v>732</v>
      </c>
      <c r="B14" s="319">
        <f>SUM(B9:B13)</f>
        <v>329053</v>
      </c>
    </row>
    <row r="16" spans="1:9" ht="18" x14ac:dyDescent="0.25">
      <c r="A16" s="317" t="s">
        <v>786</v>
      </c>
      <c r="F16" s="324" t="s">
        <v>1595</v>
      </c>
    </row>
    <row r="17" spans="1:6" ht="15" x14ac:dyDescent="0.2">
      <c r="A17" s="315" t="s">
        <v>1582</v>
      </c>
      <c r="B17" s="318">
        <f>'DOE25'!L363-'DOE25'!L362</f>
        <v>385807</v>
      </c>
      <c r="F17" s="315" t="s">
        <v>1596</v>
      </c>
    </row>
    <row r="18" spans="1:6" ht="15" x14ac:dyDescent="0.2">
      <c r="A18" s="315" t="s">
        <v>1583</v>
      </c>
      <c r="B18" s="328"/>
      <c r="F18" s="324" t="s">
        <v>1620</v>
      </c>
    </row>
    <row r="19" spans="1:6" ht="18" x14ac:dyDescent="0.25">
      <c r="A19" s="317" t="s">
        <v>725</v>
      </c>
      <c r="B19" s="319">
        <f>SUM(B17:B18)</f>
        <v>385807</v>
      </c>
    </row>
    <row r="21" spans="1:6" ht="18.75" thickBot="1" x14ac:dyDescent="0.3">
      <c r="A21" s="317" t="s">
        <v>1584</v>
      </c>
    </row>
    <row r="22" spans="1:6" ht="18.75" thickTop="1" x14ac:dyDescent="0.25">
      <c r="A22" s="317" t="s">
        <v>1585</v>
      </c>
      <c r="B22" s="323">
        <f>B14-B19</f>
        <v>-56754</v>
      </c>
      <c r="F22" s="315" t="s">
        <v>1597</v>
      </c>
    </row>
    <row r="26" spans="1:6" ht="18" x14ac:dyDescent="0.25">
      <c r="A26" s="317" t="s">
        <v>186</v>
      </c>
    </row>
    <row r="27" spans="1:6" ht="15" x14ac:dyDescent="0.2">
      <c r="A27" s="315" t="s">
        <v>1586</v>
      </c>
      <c r="B27" s="318">
        <f>'DOE25'!G180</f>
        <v>66690</v>
      </c>
      <c r="F27" s="315" t="s">
        <v>1598</v>
      </c>
    </row>
    <row r="28" spans="1:6" ht="15" x14ac:dyDescent="0.2">
      <c r="A28" s="315" t="s">
        <v>1588</v>
      </c>
      <c r="B28" s="318">
        <f>'DOE25'!L362</f>
        <v>0</v>
      </c>
      <c r="F28" s="315" t="s">
        <v>1599</v>
      </c>
    </row>
    <row r="31" spans="1:6" ht="15" x14ac:dyDescent="0.2">
      <c r="A31" s="315" t="s">
        <v>1628</v>
      </c>
      <c r="B31" s="318">
        <f>'DOE25'!G466</f>
        <v>-9936</v>
      </c>
      <c r="F31" s="315" t="s">
        <v>1600</v>
      </c>
    </row>
    <row r="33" spans="1:6" ht="15" x14ac:dyDescent="0.2">
      <c r="A33" s="315" t="s">
        <v>1629</v>
      </c>
      <c r="B33" s="318">
        <f>'DOE25'!G477</f>
        <v>0</v>
      </c>
      <c r="F33" s="315" t="s">
        <v>1601</v>
      </c>
    </row>
    <row r="36" spans="1:6" ht="15" x14ac:dyDescent="0.2">
      <c r="A36" s="315" t="s">
        <v>1587</v>
      </c>
      <c r="B36" s="329">
        <v>28468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I19" sqref="I1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Hampton</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6213208.2199999997</v>
      </c>
      <c r="C9" s="229">
        <f>'DOE25'!G198+'DOE25'!G216+'DOE25'!G234+'DOE25'!G277+'DOE25'!G296+'DOE25'!G315</f>
        <v>2671031.36</v>
      </c>
    </row>
    <row r="10" spans="1:3" x14ac:dyDescent="0.2">
      <c r="A10" t="s">
        <v>775</v>
      </c>
      <c r="B10" s="240">
        <f>5876964.41+45087</f>
        <v>5922051.4100000001</v>
      </c>
      <c r="C10" s="240">
        <f>(B10/B9)*C9</f>
        <v>2545864.3057744196</v>
      </c>
    </row>
    <row r="11" spans="1:3" x14ac:dyDescent="0.2">
      <c r="A11" t="s">
        <v>776</v>
      </c>
      <c r="B11" s="240">
        <f>142812</f>
        <v>142812</v>
      </c>
      <c r="C11" s="240">
        <f>(B11/B9)*C9</f>
        <v>61394.261559822633</v>
      </c>
    </row>
    <row r="12" spans="1:3" x14ac:dyDescent="0.2">
      <c r="A12" t="s">
        <v>777</v>
      </c>
      <c r="B12" s="240">
        <v>148344.81</v>
      </c>
      <c r="C12" s="240">
        <v>63772.79</v>
      </c>
    </row>
    <row r="13" spans="1:3" x14ac:dyDescent="0.2">
      <c r="A13" t="str">
        <f>IF(B9=B13,IF(C9=C13,"Check Total OK","Check Total Error"),"Check Total Error")</f>
        <v>Check Total Error</v>
      </c>
      <c r="B13" s="231">
        <f>SUM(B10:B12)</f>
        <v>6213208.2199999997</v>
      </c>
      <c r="C13" s="231">
        <f>SUM(C10:C12)</f>
        <v>2671031.3573342422</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1905765.21</v>
      </c>
      <c r="C18" s="229">
        <f>'DOE25'!G199+'DOE25'!G217+'DOE25'!G235+'DOE25'!G278+'DOE25'!G297+'DOE25'!G316</f>
        <v>750212.14</v>
      </c>
    </row>
    <row r="19" spans="1:3" x14ac:dyDescent="0.2">
      <c r="A19" t="s">
        <v>775</v>
      </c>
      <c r="B19" s="240">
        <f>936287.07+172331</f>
        <v>1108618.0699999998</v>
      </c>
      <c r="C19" s="240">
        <f>(B19/B18)*C18</f>
        <v>436411.96217312088</v>
      </c>
    </row>
    <row r="20" spans="1:3" x14ac:dyDescent="0.2">
      <c r="A20" t="s">
        <v>776</v>
      </c>
      <c r="B20" s="240">
        <v>515310.59</v>
      </c>
      <c r="C20" s="240">
        <f>(B20/B18)*C18</f>
        <v>202854.08635860376</v>
      </c>
    </row>
    <row r="21" spans="1:3" x14ac:dyDescent="0.2">
      <c r="A21" t="s">
        <v>777</v>
      </c>
      <c r="B21" s="240">
        <f>95615.5+99824+15571.37+70825.68</f>
        <v>281836.55</v>
      </c>
      <c r="C21" s="240">
        <v>110946.09</v>
      </c>
    </row>
    <row r="22" spans="1:3" x14ac:dyDescent="0.2">
      <c r="A22" t="str">
        <f>IF(B18=B22,IF(C18=C22,"Check Total OK","Check Total Error"),"Check Total Error")</f>
        <v>Check Total Error</v>
      </c>
      <c r="B22" s="231">
        <f>SUM(B19:B21)</f>
        <v>1905765.21</v>
      </c>
      <c r="C22" s="231">
        <f>SUM(C19:C21)</f>
        <v>750212.13853172457</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t="e">
        <f>'DOE25'!F200+'DOE25'!F218+'DOE25'!F236+'DOE25'!F279+'DOE25'!F298+'DOE25'!F317</f>
        <v>#VALUE!</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e">
        <f>IF(B27=B31,IF(C27=C31,"Check Total OK","Check Total Error"),"Check Total Error")</f>
        <v>#VALUE!</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71635.86</v>
      </c>
      <c r="C36" s="235">
        <f>'DOE25'!G201+'DOE25'!G219+'DOE25'!G237+'DOE25'!G280+'DOE25'!G299+'DOE25'!G318</f>
        <v>25786.84</v>
      </c>
    </row>
    <row r="37" spans="1:3" x14ac:dyDescent="0.2">
      <c r="A37" t="s">
        <v>775</v>
      </c>
      <c r="B37" s="240">
        <f>12024+48207</f>
        <v>60231</v>
      </c>
      <c r="C37" s="240">
        <f>(B37/B36)*C36</f>
        <v>21681.419892774375</v>
      </c>
    </row>
    <row r="38" spans="1:3" x14ac:dyDescent="0.2">
      <c r="A38" t="s">
        <v>776</v>
      </c>
      <c r="B38" s="240"/>
      <c r="C38" s="240"/>
    </row>
    <row r="39" spans="1:3" x14ac:dyDescent="0.2">
      <c r="A39" t="s">
        <v>777</v>
      </c>
      <c r="B39" s="240">
        <v>11404.86</v>
      </c>
      <c r="C39" s="240">
        <f>C36-C37</f>
        <v>4105.4201072256255</v>
      </c>
    </row>
    <row r="40" spans="1:3" x14ac:dyDescent="0.2">
      <c r="A40" t="str">
        <f>IF(B36=B40,IF(C36=C40,"Check Total OK","Check Total Error"),"Check Total Error")</f>
        <v>Check Total OK</v>
      </c>
      <c r="B40" s="231">
        <f>SUM(B37:B39)</f>
        <v>71635.86</v>
      </c>
      <c r="C40" s="231">
        <f>SUM(C37:C39)</f>
        <v>25786.84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Hampton</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12549163.68</v>
      </c>
      <c r="D5" s="20">
        <f>SUM('DOE25'!L198:L201)+SUM('DOE25'!L216:L219)+SUM('DOE25'!L234:L237)-F5-G5-H5</f>
        <v>12542659.550000001</v>
      </c>
      <c r="E5" s="243"/>
      <c r="F5" s="244"/>
      <c r="G5" s="53">
        <f>SUM('DOE25'!J198:J201)+SUM('DOE25'!J216:J219)+SUM('DOE25'!J234:J237)</f>
        <v>2228.52</v>
      </c>
      <c r="H5" s="53">
        <f>SUM('DOE25'!K198:K201)+SUM('DOE25'!K216:K219)+SUM('DOE25'!K234:K237)</f>
        <v>4275.6099999999997</v>
      </c>
      <c r="I5" s="254"/>
    </row>
    <row r="6" spans="1:9" x14ac:dyDescent="0.2">
      <c r="A6" s="32">
        <v>2100</v>
      </c>
      <c r="B6" t="s">
        <v>796</v>
      </c>
      <c r="C6" s="273">
        <f t="shared" si="0"/>
        <v>1798468.1500000001</v>
      </c>
      <c r="D6" s="20">
        <f>'DOE25'!L203+'DOE25'!L221+'DOE25'!L239-F6-G6-H6</f>
        <v>1798468.1500000001</v>
      </c>
      <c r="E6" s="243"/>
      <c r="F6" s="244"/>
      <c r="G6" s="53">
        <f>'DOE25'!J203+'DOE25'!J221+'DOE25'!J239</f>
        <v>0</v>
      </c>
      <c r="H6" s="53">
        <f>'DOE25'!K203+'DOE25'!K221+'DOE25'!K239</f>
        <v>0</v>
      </c>
      <c r="I6" s="254"/>
    </row>
    <row r="7" spans="1:9" x14ac:dyDescent="0.2">
      <c r="A7" s="32">
        <v>2200</v>
      </c>
      <c r="B7" t="s">
        <v>821</v>
      </c>
      <c r="C7" s="273">
        <f t="shared" si="0"/>
        <v>1921291.0600000003</v>
      </c>
      <c r="D7" s="20">
        <f>'DOE25'!L204+'DOE25'!L222+'DOE25'!L240-F7-G7-H7</f>
        <v>1373857.9700000002</v>
      </c>
      <c r="E7" s="243"/>
      <c r="F7" s="244"/>
      <c r="G7" s="53">
        <f>'DOE25'!J204+'DOE25'!J222+'DOE25'!J240</f>
        <v>547433.09000000008</v>
      </c>
      <c r="H7" s="53">
        <f>'DOE25'!K204+'DOE25'!K222+'DOE25'!K240</f>
        <v>0</v>
      </c>
      <c r="I7" s="254"/>
    </row>
    <row r="8" spans="1:9" x14ac:dyDescent="0.2">
      <c r="A8" s="32">
        <v>2300</v>
      </c>
      <c r="B8" t="s">
        <v>797</v>
      </c>
      <c r="C8" s="273">
        <f t="shared" si="0"/>
        <v>199659.56999999989</v>
      </c>
      <c r="D8" s="243"/>
      <c r="E8" s="20">
        <f>'DOE25'!L205+'DOE25'!L223+'DOE25'!L241-F8-G8-H8-D9-D11</f>
        <v>167500.93999999989</v>
      </c>
      <c r="F8" s="244"/>
      <c r="G8" s="53">
        <f>'DOE25'!J205+'DOE25'!J223+'DOE25'!J241</f>
        <v>0</v>
      </c>
      <c r="H8" s="53">
        <f>'DOE25'!K205+'DOE25'!K223+'DOE25'!K241</f>
        <v>32158.63</v>
      </c>
      <c r="I8" s="254"/>
    </row>
    <row r="9" spans="1:9" ht="14.25" x14ac:dyDescent="0.2">
      <c r="A9" s="32">
        <v>2310</v>
      </c>
      <c r="B9" s="185" t="s">
        <v>888</v>
      </c>
      <c r="C9" s="273">
        <f t="shared" si="0"/>
        <v>56099.48</v>
      </c>
      <c r="D9" s="244">
        <v>56099.48</v>
      </c>
      <c r="E9" s="243"/>
      <c r="F9" s="251"/>
      <c r="G9" s="251"/>
      <c r="H9" s="251"/>
      <c r="I9" s="254"/>
    </row>
    <row r="10" spans="1:9" ht="14.25" x14ac:dyDescent="0.2">
      <c r="A10" s="32">
        <v>2317</v>
      </c>
      <c r="B10" s="185" t="s">
        <v>889</v>
      </c>
      <c r="C10" s="273">
        <f t="shared" si="0"/>
        <v>9000</v>
      </c>
      <c r="D10" s="243"/>
      <c r="E10" s="244">
        <v>9000</v>
      </c>
      <c r="F10" s="251"/>
      <c r="G10" s="251"/>
      <c r="H10" s="251"/>
      <c r="I10" s="254"/>
    </row>
    <row r="11" spans="1:9" ht="14.25" x14ac:dyDescent="0.2">
      <c r="A11" s="32">
        <v>2321</v>
      </c>
      <c r="B11" s="185" t="s">
        <v>890</v>
      </c>
      <c r="C11" s="273">
        <f t="shared" si="0"/>
        <v>445912.8</v>
      </c>
      <c r="D11" s="244">
        <v>445912.8</v>
      </c>
      <c r="E11" s="243"/>
      <c r="F11" s="251"/>
      <c r="G11" s="251"/>
      <c r="H11" s="251"/>
      <c r="I11" s="254"/>
    </row>
    <row r="12" spans="1:9" x14ac:dyDescent="0.2">
      <c r="A12" s="32">
        <v>2400</v>
      </c>
      <c r="B12" t="s">
        <v>711</v>
      </c>
      <c r="C12" s="273">
        <f t="shared" si="0"/>
        <v>1098321.49</v>
      </c>
      <c r="D12" s="20">
        <f>'DOE25'!L206+'DOE25'!L224+'DOE25'!L242-F12-G12-H12</f>
        <v>1095976.49</v>
      </c>
      <c r="E12" s="243"/>
      <c r="F12" s="244"/>
      <c r="G12" s="53">
        <f>'DOE25'!J206+'DOE25'!J224+'DOE25'!J242</f>
        <v>0</v>
      </c>
      <c r="H12" s="53">
        <f>'DOE25'!K206+'DOE25'!K224+'DOE25'!K242</f>
        <v>2345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1752303.4099999997</v>
      </c>
      <c r="D14" s="20">
        <f>'DOE25'!L208+'DOE25'!L226+'DOE25'!L244-F14-G14-H14</f>
        <v>1641948.0299999998</v>
      </c>
      <c r="E14" s="243"/>
      <c r="F14" s="244"/>
      <c r="G14" s="53">
        <f>'DOE25'!J208+'DOE25'!J226+'DOE25'!J244</f>
        <v>110355.38</v>
      </c>
      <c r="H14" s="53">
        <f>'DOE25'!K208+'DOE25'!K226+'DOE25'!K244</f>
        <v>0</v>
      </c>
      <c r="I14" s="254"/>
    </row>
    <row r="15" spans="1:9" x14ac:dyDescent="0.2">
      <c r="A15" s="32">
        <v>2700</v>
      </c>
      <c r="B15" t="s">
        <v>799</v>
      </c>
      <c r="C15" s="273">
        <f t="shared" si="0"/>
        <v>1013660.73</v>
      </c>
      <c r="D15" s="20">
        <f>'DOE25'!L209+'DOE25'!L227+'DOE25'!L245-F15-G15-H15</f>
        <v>23665.729999999981</v>
      </c>
      <c r="E15" s="243"/>
      <c r="F15" s="244">
        <f>648679+341316</f>
        <v>989995</v>
      </c>
      <c r="G15" s="53">
        <f>'DOE25'!J209+'DOE25'!J227+'DOE25'!J245</f>
        <v>0</v>
      </c>
      <c r="H15" s="53">
        <f>'DOE25'!K209+'DOE25'!K227+'DOE25'!K245</f>
        <v>0</v>
      </c>
      <c r="I15" s="254"/>
    </row>
    <row r="16" spans="1:9" x14ac:dyDescent="0.2">
      <c r="A16" s="32">
        <v>2800</v>
      </c>
      <c r="B16" t="s">
        <v>800</v>
      </c>
      <c r="C16" s="273">
        <f t="shared" si="0"/>
        <v>65607.45</v>
      </c>
      <c r="D16" s="243"/>
      <c r="E16" s="20">
        <f>'DOE25'!L210+'DOE25'!L228+'DOE25'!L246-F16-G16-H16</f>
        <v>64928.2</v>
      </c>
      <c r="F16" s="244"/>
      <c r="G16" s="53">
        <f>'DOE25'!J210+'DOE25'!J228+'DOE25'!J246</f>
        <v>0</v>
      </c>
      <c r="H16" s="53">
        <f>'DOE25'!K210+'DOE25'!K228+'DOE25'!K246</f>
        <v>679.25</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252805</v>
      </c>
      <c r="D19" s="20">
        <f>'DOE25'!L254-F19-G19-H19</f>
        <v>252805</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449616</v>
      </c>
      <c r="D22" s="243"/>
      <c r="E22" s="243"/>
      <c r="F22" s="243"/>
      <c r="G22" s="53">
        <f>'DOE25'!L256+'DOE25'!L337</f>
        <v>449616</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1500680</v>
      </c>
      <c r="D25" s="243"/>
      <c r="E25" s="243"/>
      <c r="F25" s="253"/>
      <c r="G25" s="251"/>
      <c r="H25" s="251"/>
      <c r="I25" s="252">
        <f>'DOE25'!L261+'DOE25'!L262+'DOE25'!L342+'DOE25'!L343</f>
        <v>1500680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254429</v>
      </c>
      <c r="D29" s="281">
        <f>'DOE25'!L359+'DOE25'!L360+'DOE25'!L361-'DOE25'!I368-F29-G29-H29</f>
        <v>219608</v>
      </c>
      <c r="E29" s="243"/>
      <c r="F29" s="244"/>
      <c r="G29" s="53">
        <f>'DOE25'!J359+'DOE25'!J360+'DOE25'!J361</f>
        <v>4963</v>
      </c>
      <c r="H29" s="53">
        <f>'DOE25'!K359+'DOE25'!K360+'DOE25'!K361</f>
        <v>29858</v>
      </c>
      <c r="I29" s="254"/>
    </row>
    <row r="30" spans="1:9" x14ac:dyDescent="0.2">
      <c r="A30" s="32"/>
      <c r="C30" s="274"/>
      <c r="D30" s="20"/>
      <c r="E30" s="278"/>
      <c r="F30" s="268"/>
      <c r="G30" s="53"/>
      <c r="H30" s="53"/>
      <c r="I30" s="254"/>
    </row>
    <row r="31" spans="1:9" x14ac:dyDescent="0.2">
      <c r="A31" s="32" t="s">
        <v>818</v>
      </c>
      <c r="B31" t="s">
        <v>817</v>
      </c>
      <c r="C31" s="273">
        <f>SUM(D31:I31)</f>
        <v>663704</v>
      </c>
      <c r="D31" s="20">
        <f>'DOE25'!L291+'DOE25'!L310+'DOE25'!L329+'DOE25'!L334+'DOE25'!L335+'DOE25'!L336-F31-G31-H31</f>
        <v>575215</v>
      </c>
      <c r="E31" s="243"/>
      <c r="F31" s="244"/>
      <c r="G31" s="53">
        <f>'DOE25'!J291+'DOE25'!J310+'DOE25'!J329+'DOE25'!J334+'DOE25'!J335+'DOE25'!J336</f>
        <v>87664</v>
      </c>
      <c r="H31" s="53">
        <f>'DOE25'!K291+'DOE25'!K310+'DOE25'!K329+'DOE25'!K334+'DOE25'!K335+'DOE25'!K336</f>
        <v>825</v>
      </c>
      <c r="I31" s="254"/>
    </row>
    <row r="32" spans="1:9" ht="12" thickBot="1" x14ac:dyDescent="0.25">
      <c r="C32" s="274"/>
      <c r="G32" s="249"/>
      <c r="H32" s="249"/>
      <c r="I32" s="256"/>
    </row>
    <row r="33" spans="1:9" ht="12" thickTop="1" x14ac:dyDescent="0.2">
      <c r="B33" t="s">
        <v>809</v>
      </c>
      <c r="D33" s="245">
        <f t="shared" ref="D33:I33" si="1">SUM(D5:D31)</f>
        <v>20026216.200000003</v>
      </c>
      <c r="E33" s="245">
        <f t="shared" si="1"/>
        <v>241429.1399999999</v>
      </c>
      <c r="F33" s="245">
        <f t="shared" si="1"/>
        <v>989995</v>
      </c>
      <c r="G33" s="245">
        <f t="shared" si="1"/>
        <v>1202259.9900000002</v>
      </c>
      <c r="H33" s="245">
        <f t="shared" si="1"/>
        <v>70141.489999999991</v>
      </c>
      <c r="I33" s="245">
        <f t="shared" si="1"/>
        <v>1500680</v>
      </c>
    </row>
    <row r="35" spans="1:9" ht="12" thickBot="1" x14ac:dyDescent="0.25">
      <c r="B35" s="249" t="s">
        <v>831</v>
      </c>
      <c r="D35" s="250">
        <f>E33</f>
        <v>241429.1399999999</v>
      </c>
      <c r="E35" s="246"/>
      <c r="F35" s="333" t="s">
        <v>1632</v>
      </c>
      <c r="G35" s="334"/>
      <c r="H35" s="334"/>
      <c r="I35" s="334"/>
    </row>
    <row r="36" spans="1:9" ht="12" thickTop="1" x14ac:dyDescent="0.2">
      <c r="B36" t="s">
        <v>810</v>
      </c>
      <c r="D36" s="20">
        <f>D33</f>
        <v>20026216.200000003</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election activeCell="I13" sqref="I13"/>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Hampton</v>
      </c>
      <c r="B2" s="126">
        <f>'DOE25'!B2</f>
        <v>225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21564191.82</v>
      </c>
      <c r="G4" s="300">
        <f>'DOE25'!L212+'DOE25'!L291</f>
        <v>21564191.82</v>
      </c>
      <c r="H4" s="353">
        <f>F4-G4</f>
        <v>0</v>
      </c>
      <c r="I4" s="370" t="str">
        <f>IF(H4=0,"","ISSUES!! Please review page 7 and 11 totals in comparison with total on this page")</f>
        <v/>
      </c>
      <c r="N4"/>
    </row>
    <row r="5" spans="1:18" x14ac:dyDescent="0.2">
      <c r="A5" s="21" t="s">
        <v>1092</v>
      </c>
      <c r="B5" s="301">
        <f>IFERROR(VLOOKUP(A5,'School Tables'!$C$3:$D$365,2,FALSE),"")</f>
        <v>20795</v>
      </c>
      <c r="C5" s="294" t="str">
        <f>IFERROR(INDEX('School Tables'!$B$3:$B$365,MATCH('School Level Expenditures'!B5,'School Tables'!$D$3:$D$365,0)),"")</f>
        <v>Hampton</v>
      </c>
      <c r="D5" s="291">
        <v>6061114</v>
      </c>
      <c r="E5" s="291">
        <v>192474</v>
      </c>
      <c r="F5" s="304">
        <f>D5+E5</f>
        <v>6253588</v>
      </c>
      <c r="G5" s="294"/>
      <c r="H5" s="294"/>
      <c r="I5" s="371"/>
      <c r="N5"/>
    </row>
    <row r="6" spans="1:18" x14ac:dyDescent="0.2">
      <c r="A6" s="21" t="s">
        <v>1091</v>
      </c>
      <c r="B6" s="301">
        <f>IFERROR(VLOOKUP(A6,'School Tables'!$C$3:$D$365,2,FALSE),"")</f>
        <v>20770</v>
      </c>
      <c r="C6" s="294" t="str">
        <f>IFERROR(INDEX('School Tables'!$B$3:$B$365,MATCH('School Level Expenditures'!B6,'School Tables'!$D$3:$D$365,0)),"")</f>
        <v>Hampton</v>
      </c>
      <c r="D6" s="291">
        <v>5852136</v>
      </c>
      <c r="E6" s="291">
        <v>185837</v>
      </c>
      <c r="F6" s="304">
        <f t="shared" ref="F6:F20" si="0">D6+E6</f>
        <v>6037973</v>
      </c>
      <c r="G6" s="294"/>
      <c r="H6" s="294"/>
      <c r="I6" s="371"/>
      <c r="N6"/>
    </row>
    <row r="7" spans="1:18" x14ac:dyDescent="0.2">
      <c r="A7" s="21" t="s">
        <v>1543</v>
      </c>
      <c r="B7" s="301">
        <f>IFERROR(VLOOKUP(A7,'School Tables'!$C$3:$D$365,2,FALSE),"")</f>
        <v>20790</v>
      </c>
      <c r="C7" s="294" t="str">
        <f>IFERROR(INDEX('School Tables'!$B$3:$B$365,MATCH('School Level Expenditures'!B7,'School Tables'!$D$3:$D$365,0)),"")</f>
        <v>Hampton</v>
      </c>
      <c r="D7" s="291">
        <f>8987207+30.82</f>
        <v>8987237.8200000003</v>
      </c>
      <c r="E7" s="291">
        <v>285393</v>
      </c>
      <c r="F7" s="304">
        <f t="shared" si="0"/>
        <v>9272630.8200000003</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20900487.82</v>
      </c>
      <c r="E21" s="351">
        <f>SUM(E5:E20)</f>
        <v>663704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0" zoomScaleNormal="120" workbookViewId="0">
      <pane ySplit="2" topLeftCell="A75" activePane="bottomLeft" state="frozen"/>
      <selection activeCell="F46" sqref="F46"/>
      <selection pane="bottomLeft" activeCell="N58" sqref="N5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1336221</v>
      </c>
      <c r="D8" s="95">
        <f>'DOE25'!G9</f>
        <v>-9152</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246880</v>
      </c>
      <c r="D11" s="95">
        <f>'DOE25'!G12</f>
        <v>40784</v>
      </c>
      <c r="E11" s="95">
        <f>'DOE25'!H12</f>
        <v>237728</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1583101</v>
      </c>
      <c r="D18" s="41">
        <f>SUM(D8:D17)</f>
        <v>31632</v>
      </c>
      <c r="E18" s="41">
        <f>SUM(E8:E17)</f>
        <v>237728</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237728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21981</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62974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26056</v>
      </c>
      <c r="D29" s="95">
        <f>'DOE25'!G30</f>
        <v>9651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89030</v>
      </c>
      <c r="D31" s="41">
        <f>SUM(D21:D30)</f>
        <v>31632</v>
      </c>
      <c r="E31" s="41">
        <f>SUM(E21:E30)</f>
        <v>237728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338177</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300000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-338177</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1194071</v>
      </c>
      <c r="D49" s="24" t="s">
        <v>288</v>
      </c>
      <c r="E49" s="24" t="s">
        <v>288</v>
      </c>
      <c r="F49" s="24" t="s">
        <v>288</v>
      </c>
      <c r="G49" s="24" t="s">
        <v>288</v>
      </c>
      <c r="H49" s="124"/>
      <c r="I49" s="124"/>
    </row>
    <row r="50" spans="1:9" ht="12.75" thickTop="1" thickBot="1" x14ac:dyDescent="0.25">
      <c r="A50" s="38" t="s">
        <v>884</v>
      </c>
      <c r="B50" s="48"/>
      <c r="C50" s="41">
        <f>SUM(C34:C49)</f>
        <v>1494071</v>
      </c>
      <c r="D50" s="41">
        <f>SUM(D34:D49)</f>
        <v>0</v>
      </c>
      <c r="E50" s="41">
        <f>SUM(E34:E49)</f>
        <v>0</v>
      </c>
      <c r="F50" s="41">
        <f>SUM(F34:F49)</f>
        <v>0</v>
      </c>
      <c r="G50" s="41">
        <f>SUM(G34:G49)</f>
        <v>0</v>
      </c>
      <c r="H50" s="124"/>
      <c r="I50" s="124"/>
    </row>
    <row r="51" spans="1:9" ht="12" thickTop="1" x14ac:dyDescent="0.2">
      <c r="A51" s="38" t="s">
        <v>885</v>
      </c>
      <c r="B51" s="2"/>
      <c r="C51" s="41">
        <f>C50+C31</f>
        <v>1583101</v>
      </c>
      <c r="D51" s="41">
        <f>D50+D31</f>
        <v>31632</v>
      </c>
      <c r="E51" s="41">
        <f>E50+E31</f>
        <v>237728</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17267279</v>
      </c>
      <c r="D56" s="95">
        <f>'DOE25'!G60</f>
        <v>0</v>
      </c>
      <c r="E56" s="95">
        <f>'DOE25'!H60</f>
        <v>0</v>
      </c>
      <c r="F56" s="95">
        <f>'DOE25'!I60</f>
        <v>0</v>
      </c>
      <c r="G56" s="95">
        <f>'DOE25'!J60</f>
        <v>0</v>
      </c>
      <c r="H56"/>
      <c r="I56"/>
    </row>
    <row r="57" spans="1:9" x14ac:dyDescent="0.2">
      <c r="A57" s="1" t="s">
        <v>164</v>
      </c>
      <c r="B57" s="6" t="s">
        <v>165</v>
      </c>
      <c r="C57" s="95">
        <f>'DOE25'!F79</f>
        <v>17020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1708</v>
      </c>
      <c r="D59" s="95">
        <f>'DOE25'!G96</f>
        <v>0</v>
      </c>
      <c r="E59" s="95">
        <f>'DOE25'!H96</f>
        <v>0</v>
      </c>
      <c r="F59" s="95">
        <f>'DOE25'!I96</f>
        <v>968</v>
      </c>
      <c r="G59" s="95">
        <f>'DOE25'!J96</f>
        <v>0</v>
      </c>
      <c r="H59"/>
      <c r="I59"/>
    </row>
    <row r="60" spans="1:9" x14ac:dyDescent="0.2">
      <c r="A60" s="1" t="s">
        <v>170</v>
      </c>
      <c r="B60" s="118" t="s">
        <v>171</v>
      </c>
      <c r="C60" s="24" t="s">
        <v>288</v>
      </c>
      <c r="D60" s="95">
        <f>'DOE25'!G97</f>
        <v>8142</v>
      </c>
      <c r="E60" s="24" t="s">
        <v>288</v>
      </c>
      <c r="F60" s="24" t="s">
        <v>288</v>
      </c>
      <c r="G60" s="24" t="s">
        <v>288</v>
      </c>
      <c r="H60"/>
      <c r="I60"/>
    </row>
    <row r="61" spans="1:9" ht="12" thickBot="1" x14ac:dyDescent="0.25">
      <c r="A61" s="1" t="s">
        <v>172</v>
      </c>
      <c r="B61" s="118" t="s">
        <v>173</v>
      </c>
      <c r="C61" s="95">
        <f>SUM('DOE25'!F98:F110)</f>
        <v>230181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248909</v>
      </c>
      <c r="D62" s="130">
        <f>SUM(D57:D61)</f>
        <v>8142</v>
      </c>
      <c r="E62" s="130">
        <f>SUM(E57:E61)</f>
        <v>0</v>
      </c>
      <c r="F62" s="130">
        <f>SUM(F57:F61)</f>
        <v>968</v>
      </c>
      <c r="G62" s="130">
        <f>SUM(G57:G61)</f>
        <v>0</v>
      </c>
      <c r="H62"/>
      <c r="I62"/>
    </row>
    <row r="63" spans="1:9" ht="12" thickTop="1" x14ac:dyDescent="0.2">
      <c r="A63" s="29" t="s">
        <v>175</v>
      </c>
      <c r="B63" s="6"/>
      <c r="C63" s="22">
        <f>C56+C62</f>
        <v>17516188</v>
      </c>
      <c r="D63" s="22">
        <f>D56+D62</f>
        <v>8142</v>
      </c>
      <c r="E63" s="22">
        <f>E56+E62</f>
        <v>0</v>
      </c>
      <c r="F63" s="22">
        <f>F56+F62</f>
        <v>968</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4906692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4906692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382166</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293912</v>
      </c>
      <c r="D77" s="95">
        <f>SUM('DOE25'!G131:G135)</f>
        <v>6796</v>
      </c>
      <c r="E77" s="95">
        <f>SUM('DOE25'!H131:H135)</f>
        <v>0</v>
      </c>
      <c r="F77" s="95">
        <f>SUM('DOE25'!I131:I135)</f>
        <v>0</v>
      </c>
      <c r="G77" s="95">
        <f>SUM('DOE25'!J131:J135)</f>
        <v>0</v>
      </c>
      <c r="H77"/>
      <c r="I77"/>
    </row>
    <row r="78" spans="1:9" ht="12.75" thickTop="1" thickBot="1" x14ac:dyDescent="0.25">
      <c r="A78" s="29" t="s">
        <v>259</v>
      </c>
      <c r="B78" s="6"/>
      <c r="C78" s="130">
        <f>SUM(C72:C77)</f>
        <v>676078</v>
      </c>
      <c r="D78" s="130">
        <f>SUM(D72:D77)</f>
        <v>6796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5582770</v>
      </c>
      <c r="D81" s="130">
        <f>SUM(D79:D80)+D78+D70</f>
        <v>6796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342262</v>
      </c>
      <c r="D88" s="331">
        <f>SUM('DOE25'!G153:G162)</f>
        <v>314115</v>
      </c>
      <c r="E88" s="331">
        <f>SUM('DOE25'!H153:H162)</f>
        <v>663704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342262</v>
      </c>
      <c r="D91" s="131">
        <f>SUM(D85:D90)</f>
        <v>314115</v>
      </c>
      <c r="E91" s="131">
        <f>SUM(E85:E90)</f>
        <v>663704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66690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312958</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312958</v>
      </c>
      <c r="D103" s="86">
        <f>SUM(D93:D102)</f>
        <v>66690</v>
      </c>
      <c r="E103" s="86">
        <f>SUM(E93:E102)</f>
        <v>0</v>
      </c>
      <c r="F103" s="86">
        <f>SUM(F93:F102)</f>
        <v>0</v>
      </c>
      <c r="G103" s="86">
        <f>SUM(G93:G102)</f>
        <v>0</v>
      </c>
    </row>
    <row r="104" spans="1:7" ht="12.75" thickTop="1" thickBot="1" x14ac:dyDescent="0.25">
      <c r="A104" s="33" t="s">
        <v>761</v>
      </c>
      <c r="C104" s="86">
        <f>C63+C81+C91+C103</f>
        <v>23754178</v>
      </c>
      <c r="D104" s="86">
        <f>D63+D81+D91+D103</f>
        <v>395743</v>
      </c>
      <c r="E104" s="86">
        <f>E63+E81+E91+E103</f>
        <v>663704</v>
      </c>
      <c r="F104" s="86">
        <f>F63+F81+F91+F103</f>
        <v>968</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9054364.1799999997</v>
      </c>
      <c r="D109" s="24" t="s">
        <v>288</v>
      </c>
      <c r="E109" s="95">
        <f>('DOE25'!L277)+('DOE25'!L296)+('DOE25'!L315)</f>
        <v>94858</v>
      </c>
      <c r="F109" s="24" t="s">
        <v>288</v>
      </c>
      <c r="G109" s="24" t="s">
        <v>288</v>
      </c>
    </row>
    <row r="110" spans="1:7" x14ac:dyDescent="0.2">
      <c r="A110" t="s">
        <v>198</v>
      </c>
      <c r="B110" s="32" t="s">
        <v>199</v>
      </c>
      <c r="C110" s="95">
        <f>('DOE25'!L199)+('DOE25'!L217)+('DOE25'!L235)</f>
        <v>3389746.42</v>
      </c>
      <c r="D110" s="24" t="s">
        <v>288</v>
      </c>
      <c r="E110" s="95">
        <f>('DOE25'!L278)+('DOE25'!L297)+('DOE25'!L316)</f>
        <v>377158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105053.08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252805</v>
      </c>
      <c r="D114" s="24" t="s">
        <v>288</v>
      </c>
      <c r="E114" s="95">
        <f>+ SUM('DOE25'!L334:L336)</f>
        <v>0</v>
      </c>
      <c r="F114" s="24" t="s">
        <v>288</v>
      </c>
      <c r="G114" s="24" t="s">
        <v>288</v>
      </c>
    </row>
    <row r="115" spans="1:7" ht="12.75" thickTop="1" thickBot="1" x14ac:dyDescent="0.25">
      <c r="A115" s="33" t="s">
        <v>205</v>
      </c>
      <c r="C115" s="86">
        <f>SUM(C109:C114)</f>
        <v>12801968.68</v>
      </c>
      <c r="D115" s="86">
        <f>SUM(D109:D114)</f>
        <v>0</v>
      </c>
      <c r="E115" s="86">
        <f>SUM(E109:E114)</f>
        <v>472016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1798468.1500000001</v>
      </c>
      <c r="D118" s="24" t="s">
        <v>288</v>
      </c>
      <c r="E118" s="95">
        <f>+('DOE25'!L282)+('DOE25'!L301)+('DOE25'!L320)</f>
        <v>10909</v>
      </c>
      <c r="F118" s="24" t="s">
        <v>288</v>
      </c>
      <c r="G118" s="24" t="s">
        <v>288</v>
      </c>
    </row>
    <row r="119" spans="1:7" x14ac:dyDescent="0.2">
      <c r="A119" t="s">
        <v>208</v>
      </c>
      <c r="B119" s="32" t="s">
        <v>209</v>
      </c>
      <c r="C119" s="95">
        <f>('DOE25'!L204)+('DOE25'!L222)+('DOE25'!L240)</f>
        <v>1921291.0600000003</v>
      </c>
      <c r="D119" s="24" t="s">
        <v>288</v>
      </c>
      <c r="E119" s="95">
        <f>+('DOE25'!L283)+('DOE25'!L302)+('DOE25'!L321)</f>
        <v>157993</v>
      </c>
      <c r="F119" s="24" t="s">
        <v>288</v>
      </c>
      <c r="G119" s="24" t="s">
        <v>288</v>
      </c>
    </row>
    <row r="120" spans="1:7" x14ac:dyDescent="0.2">
      <c r="A120" t="s">
        <v>210</v>
      </c>
      <c r="B120" s="32" t="s">
        <v>211</v>
      </c>
      <c r="C120" s="95">
        <f>('DOE25'!L205)+('DOE25'!L223)+('DOE25'!L241)</f>
        <v>701671.84999999986</v>
      </c>
      <c r="D120" s="24" t="s">
        <v>288</v>
      </c>
      <c r="E120" s="95">
        <f>+('DOE25'!L284)+('DOE25'!L303)+('DOE25'!L322)</f>
        <v>1644</v>
      </c>
      <c r="F120" s="24" t="s">
        <v>288</v>
      </c>
      <c r="G120" s="24" t="s">
        <v>288</v>
      </c>
    </row>
    <row r="121" spans="1:7" x14ac:dyDescent="0.2">
      <c r="A121" t="s">
        <v>212</v>
      </c>
      <c r="B121" s="32" t="s">
        <v>213</v>
      </c>
      <c r="C121" s="95">
        <f>('DOE25'!L206)+('DOE25'!L224)+('DOE25'!L242)</f>
        <v>1098321.49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1752303.4099999997</v>
      </c>
      <c r="D123" s="24" t="s">
        <v>288</v>
      </c>
      <c r="E123" s="95">
        <f>+('DOE25'!L287)+('DOE25'!L306)+('DOE25'!L325)</f>
        <v>0</v>
      </c>
      <c r="F123" s="24" t="s">
        <v>288</v>
      </c>
      <c r="G123" s="24" t="s">
        <v>288</v>
      </c>
    </row>
    <row r="124" spans="1:7" x14ac:dyDescent="0.2">
      <c r="A124" t="s">
        <v>218</v>
      </c>
      <c r="B124" s="32" t="s">
        <v>219</v>
      </c>
      <c r="C124" s="95">
        <f>('DOE25'!L209)+('DOE25'!L227)+('DOE25'!L245+'DOE25'!L255)</f>
        <v>1013660.73</v>
      </c>
      <c r="D124" s="24" t="s">
        <v>288</v>
      </c>
      <c r="E124" s="95">
        <f>+('DOE25'!L288)+('DOE25'!L307)+('DOE25'!L326)</f>
        <v>21142</v>
      </c>
      <c r="F124" s="24" t="s">
        <v>288</v>
      </c>
      <c r="G124" s="24" t="s">
        <v>288</v>
      </c>
    </row>
    <row r="125" spans="1:7" x14ac:dyDescent="0.2">
      <c r="A125" t="s">
        <v>220</v>
      </c>
      <c r="B125" s="32" t="s">
        <v>221</v>
      </c>
      <c r="C125" s="95">
        <f>('DOE25'!L210)+('DOE25'!L228)+('DOE25'!L246)</f>
        <v>65607.45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385807</v>
      </c>
      <c r="E127" s="24" t="s">
        <v>288</v>
      </c>
      <c r="F127" s="24" t="s">
        <v>288</v>
      </c>
      <c r="G127" s="24" t="s">
        <v>288</v>
      </c>
    </row>
    <row r="128" spans="1:7" ht="12.75" thickTop="1" thickBot="1" x14ac:dyDescent="0.25">
      <c r="A128" s="33" t="s">
        <v>226</v>
      </c>
      <c r="C128" s="86">
        <f>SUM(C118:C127)</f>
        <v>8351324.1400000015</v>
      </c>
      <c r="D128" s="86">
        <f>SUM(D118:D127)</f>
        <v>385807</v>
      </c>
      <c r="E128" s="86">
        <f>SUM(E118:E127)</f>
        <v>191688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449616</v>
      </c>
      <c r="D130" s="24" t="s">
        <v>288</v>
      </c>
      <c r="E130" s="129">
        <f>'DOE25'!L337</f>
        <v>0</v>
      </c>
      <c r="F130" s="129">
        <f>SUM('DOE25'!L375:'DOE25'!L381)</f>
        <v>26187</v>
      </c>
      <c r="G130" s="24" t="s">
        <v>288</v>
      </c>
    </row>
    <row r="131" spans="1:7" x14ac:dyDescent="0.2">
      <c r="A131" t="s">
        <v>229</v>
      </c>
      <c r="B131" s="32">
        <v>5110</v>
      </c>
      <c r="C131" s="95">
        <f>'DOE25'!L261</f>
        <v>580000</v>
      </c>
      <c r="D131" s="24" t="s">
        <v>288</v>
      </c>
      <c r="E131" s="129">
        <f>'DOE25'!L342</f>
        <v>0</v>
      </c>
      <c r="F131" s="24" t="s">
        <v>288</v>
      </c>
      <c r="G131" s="24" t="s">
        <v>288</v>
      </c>
    </row>
    <row r="132" spans="1:7" x14ac:dyDescent="0.2">
      <c r="A132" t="s">
        <v>230</v>
      </c>
      <c r="B132" s="32">
        <v>5120</v>
      </c>
      <c r="C132" s="95">
        <f>'DOE25'!L262</f>
        <v>920680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312958</v>
      </c>
      <c r="G134" s="95">
        <f>'DOE25'!K435</f>
        <v>0</v>
      </c>
    </row>
    <row r="135" spans="1:7" x14ac:dyDescent="0.2">
      <c r="A135" t="s">
        <v>233</v>
      </c>
      <c r="B135" s="32" t="s">
        <v>234</v>
      </c>
      <c r="C135" s="95">
        <f>'DOE25'!L264</f>
        <v>66690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2016986</v>
      </c>
      <c r="D144" s="141">
        <f>SUM(D130:D143)</f>
        <v>0</v>
      </c>
      <c r="E144" s="141">
        <f>SUM(E130:E143)</f>
        <v>0</v>
      </c>
      <c r="F144" s="141">
        <f>SUM(F130:F143)</f>
        <v>339145</v>
      </c>
      <c r="G144" s="141">
        <f>SUM(G130:G143)</f>
        <v>0</v>
      </c>
    </row>
    <row r="145" spans="1:9" ht="12.75" thickTop="1" thickBot="1" x14ac:dyDescent="0.25">
      <c r="A145" s="33" t="s">
        <v>244</v>
      </c>
      <c r="C145" s="86">
        <f>(C115+C128+C144)</f>
        <v>23170278.82</v>
      </c>
      <c r="D145" s="86">
        <f>(D115+D128+D144)</f>
        <v>385807</v>
      </c>
      <c r="E145" s="86">
        <f>(E115+E128+E144)</f>
        <v>663704</v>
      </c>
      <c r="F145" s="86">
        <f>(F115+F128+F144)</f>
        <v>339145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25</v>
      </c>
      <c r="C151" s="153">
        <f>'DOE25'!G491</f>
        <v>0</v>
      </c>
      <c r="D151" s="153">
        <f>'DOE25'!H491</f>
        <v>0</v>
      </c>
      <c r="E151" s="153">
        <f>'DOE25'!I491</f>
        <v>0</v>
      </c>
      <c r="F151" s="153">
        <f>'DOE25'!J491</f>
        <v>0</v>
      </c>
      <c r="G151" s="24" t="s">
        <v>288</v>
      </c>
    </row>
    <row r="152" spans="1:9" x14ac:dyDescent="0.2">
      <c r="A152" s="136" t="s">
        <v>28</v>
      </c>
      <c r="B152" s="152" t="str">
        <f>'DOE25'!F492</f>
        <v>07/17</v>
      </c>
      <c r="C152" s="152">
        <f>'DOE25'!G492</f>
        <v>0</v>
      </c>
      <c r="D152" s="152">
        <f>'DOE25'!H492</f>
        <v>0</v>
      </c>
      <c r="E152" s="152">
        <f>'DOE25'!I492</f>
        <v>0</v>
      </c>
      <c r="F152" s="152">
        <f>'DOE25'!J492</f>
        <v>0</v>
      </c>
      <c r="G152" s="24" t="s">
        <v>288</v>
      </c>
    </row>
    <row r="153" spans="1:9" x14ac:dyDescent="0.2">
      <c r="A153" s="136" t="s">
        <v>29</v>
      </c>
      <c r="B153" s="152" t="str">
        <f>'DOE25'!F493</f>
        <v>08/42</v>
      </c>
      <c r="C153" s="152">
        <f>'DOE25'!G493</f>
        <v>0</v>
      </c>
      <c r="D153" s="152">
        <f>'DOE25'!H493</f>
        <v>0</v>
      </c>
      <c r="E153" s="152">
        <f>'DOE25'!I493</f>
        <v>0</v>
      </c>
      <c r="F153" s="152">
        <f>'DOE25'!J493</f>
        <v>0</v>
      </c>
      <c r="G153" s="24" t="s">
        <v>288</v>
      </c>
    </row>
    <row r="154" spans="1:9" x14ac:dyDescent="0.2">
      <c r="A154" s="136" t="s">
        <v>30</v>
      </c>
      <c r="B154" s="137">
        <f>'DOE25'!F494</f>
        <v>23701700</v>
      </c>
      <c r="C154" s="137">
        <f>'DOE25'!G494</f>
        <v>0</v>
      </c>
      <c r="D154" s="137">
        <f>'DOE25'!H494</f>
        <v>0</v>
      </c>
      <c r="E154" s="137">
        <f>'DOE25'!I494</f>
        <v>0</v>
      </c>
      <c r="F154" s="137">
        <f>'DOE25'!J494</f>
        <v>0</v>
      </c>
      <c r="G154" s="24" t="s">
        <v>288</v>
      </c>
    </row>
    <row r="155" spans="1:9" x14ac:dyDescent="0.2">
      <c r="A155" s="136" t="s">
        <v>31</v>
      </c>
      <c r="B155" s="137">
        <f>'DOE25'!F495</f>
        <v>3.15</v>
      </c>
      <c r="C155" s="137">
        <f>'DOE25'!G495</f>
        <v>0</v>
      </c>
      <c r="D155" s="137">
        <f>'DOE25'!H495</f>
        <v>0</v>
      </c>
      <c r="E155" s="137">
        <f>'DOE25'!I495</f>
        <v>0</v>
      </c>
      <c r="F155" s="137">
        <f>'DOE25'!J495</f>
        <v>0</v>
      </c>
      <c r="G155" s="24" t="s">
        <v>288</v>
      </c>
    </row>
    <row r="156" spans="1:9" x14ac:dyDescent="0.2">
      <c r="A156" s="22" t="s">
        <v>32</v>
      </c>
      <c r="B156" s="137">
        <f>'DOE25'!F496</f>
        <v>22620000</v>
      </c>
      <c r="C156" s="137">
        <f>'DOE25'!G496</f>
        <v>0</v>
      </c>
      <c r="D156" s="137">
        <f>'DOE25'!H496</f>
        <v>0</v>
      </c>
      <c r="E156" s="137">
        <f>'DOE25'!I496</f>
        <v>0</v>
      </c>
      <c r="F156" s="137">
        <f>'DOE25'!J496</f>
        <v>0</v>
      </c>
      <c r="G156" s="138">
        <f>SUM(B156:F156)</f>
        <v>22620000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22620000</v>
      </c>
      <c r="C158" s="137">
        <f>'DOE25'!G498</f>
        <v>0</v>
      </c>
      <c r="D158" s="137">
        <f>'DOE25'!H498</f>
        <v>0</v>
      </c>
      <c r="E158" s="137">
        <f>'DOE25'!I498</f>
        <v>0</v>
      </c>
      <c r="F158" s="137">
        <f>'DOE25'!J498</f>
        <v>0</v>
      </c>
      <c r="G158" s="138">
        <f t="shared" si="0"/>
        <v>22620000</v>
      </c>
    </row>
    <row r="159" spans="1:9" x14ac:dyDescent="0.2">
      <c r="A159" s="22" t="s">
        <v>35</v>
      </c>
      <c r="B159" s="137">
        <f>'DOE25'!F499</f>
        <v>22040000</v>
      </c>
      <c r="C159" s="137">
        <f>'DOE25'!G499</f>
        <v>0</v>
      </c>
      <c r="D159" s="137">
        <f>'DOE25'!H499</f>
        <v>0</v>
      </c>
      <c r="E159" s="137">
        <f>'DOE25'!I499</f>
        <v>0</v>
      </c>
      <c r="F159" s="137">
        <f>'DOE25'!J499</f>
        <v>0</v>
      </c>
      <c r="G159" s="138">
        <f t="shared" si="0"/>
        <v>22040000</v>
      </c>
    </row>
    <row r="160" spans="1:9" x14ac:dyDescent="0.2">
      <c r="A160" s="22" t="s">
        <v>36</v>
      </c>
      <c r="B160" s="137">
        <f>'DOE25'!F500</f>
        <v>11250869.699999999</v>
      </c>
      <c r="C160" s="137">
        <f>'DOE25'!G500</f>
        <v>0</v>
      </c>
      <c r="D160" s="137">
        <f>'DOE25'!H500</f>
        <v>0</v>
      </c>
      <c r="E160" s="137">
        <f>'DOE25'!I500</f>
        <v>0</v>
      </c>
      <c r="F160" s="137">
        <f>'DOE25'!J500</f>
        <v>0</v>
      </c>
      <c r="G160" s="138">
        <f t="shared" si="0"/>
        <v>11250869.699999999</v>
      </c>
    </row>
    <row r="161" spans="1:7" x14ac:dyDescent="0.2">
      <c r="A161" s="22" t="s">
        <v>37</v>
      </c>
      <c r="B161" s="137">
        <f>'DOE25'!F501</f>
        <v>33290869.699999999</v>
      </c>
      <c r="C161" s="137">
        <f>'DOE25'!G501</f>
        <v>0</v>
      </c>
      <c r="D161" s="137">
        <f>'DOE25'!H501</f>
        <v>0</v>
      </c>
      <c r="E161" s="137">
        <f>'DOE25'!I501</f>
        <v>0</v>
      </c>
      <c r="F161" s="137">
        <f>'DOE25'!J501</f>
        <v>0</v>
      </c>
      <c r="G161" s="138">
        <f t="shared" si="0"/>
        <v>33290869.699999999</v>
      </c>
    </row>
    <row r="162" spans="1:7" x14ac:dyDescent="0.2">
      <c r="A162" s="22" t="s">
        <v>38</v>
      </c>
      <c r="B162" s="137">
        <f>'DOE25'!F502</f>
        <v>580000</v>
      </c>
      <c r="C162" s="137">
        <f>'DOE25'!G502</f>
        <v>0</v>
      </c>
      <c r="D162" s="137">
        <f>'DOE25'!H502</f>
        <v>0</v>
      </c>
      <c r="E162" s="137">
        <f>'DOE25'!I502</f>
        <v>0</v>
      </c>
      <c r="F162" s="137">
        <f>'DOE25'!J502</f>
        <v>0</v>
      </c>
      <c r="G162" s="138">
        <f t="shared" si="0"/>
        <v>580000</v>
      </c>
    </row>
    <row r="163" spans="1:7" x14ac:dyDescent="0.2">
      <c r="A163" s="22" t="s">
        <v>39</v>
      </c>
      <c r="B163" s="137">
        <f>'DOE25'!F503</f>
        <v>920680</v>
      </c>
      <c r="C163" s="137">
        <f>'DOE25'!G503</f>
        <v>0</v>
      </c>
      <c r="D163" s="137">
        <f>'DOE25'!H503</f>
        <v>0</v>
      </c>
      <c r="E163" s="137">
        <f>'DOE25'!I503</f>
        <v>0</v>
      </c>
      <c r="F163" s="137">
        <f>'DOE25'!J503</f>
        <v>0</v>
      </c>
      <c r="G163" s="138">
        <f t="shared" si="0"/>
        <v>920680</v>
      </c>
    </row>
    <row r="164" spans="1:7" x14ac:dyDescent="0.2">
      <c r="A164" s="22" t="s">
        <v>246</v>
      </c>
      <c r="B164" s="137">
        <f>'DOE25'!F504</f>
        <v>1500680</v>
      </c>
      <c r="C164" s="137">
        <f>'DOE25'!G504</f>
        <v>0</v>
      </c>
      <c r="D164" s="137">
        <f>'DOE25'!H504</f>
        <v>0</v>
      </c>
      <c r="E164" s="137">
        <f>'DOE25'!I504</f>
        <v>0</v>
      </c>
      <c r="F164" s="137">
        <f>'DOE25'!J504</f>
        <v>0</v>
      </c>
      <c r="G164" s="138">
        <f t="shared" si="0"/>
        <v>1500680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Hampton</v>
      </c>
    </row>
    <row r="3" spans="1:4" x14ac:dyDescent="0.2">
      <c r="B3" s="188" t="s">
        <v>1666</v>
      </c>
    </row>
    <row r="4" spans="1:4" x14ac:dyDescent="0.2">
      <c r="B4" t="s">
        <v>61</v>
      </c>
      <c r="C4" s="179">
        <f>IF('DOE25'!F666+'DOE25'!F671=0,0,ROUND('DOE25'!F673,0))</f>
        <v>20509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20509</v>
      </c>
    </row>
    <row r="9" spans="1:4" x14ac:dyDescent="0.2">
      <c r="A9" s="187" t="s">
        <v>94</v>
      </c>
      <c r="B9" s="188" t="s">
        <v>1671</v>
      </c>
      <c r="C9" s="181" t="s">
        <v>720</v>
      </c>
      <c r="D9" s="181" t="s">
        <v>721</v>
      </c>
    </row>
    <row r="10" spans="1:4" x14ac:dyDescent="0.2">
      <c r="A10">
        <v>1100</v>
      </c>
      <c r="B10" t="s">
        <v>702</v>
      </c>
      <c r="C10" s="179">
        <f>ROUND('DOE25'!L198+'DOE25'!L216+'DOE25'!L234+'DOE25'!L277+'DOE25'!L296+'DOE25'!L315,0)</f>
        <v>9149222</v>
      </c>
      <c r="D10" s="182">
        <f>ROUND((C10/$C$28)*100,1)</f>
        <v>39.6</v>
      </c>
    </row>
    <row r="11" spans="1:4" x14ac:dyDescent="0.2">
      <c r="A11">
        <v>1200</v>
      </c>
      <c r="B11" t="s">
        <v>703</v>
      </c>
      <c r="C11" s="179">
        <f>ROUND('DOE25'!L199+'DOE25'!L217+'DOE25'!L235+'DOE25'!L278+'DOE25'!L297+'DOE25'!L316,0)</f>
        <v>3766904</v>
      </c>
      <c r="D11" s="182">
        <f>ROUND((C11/$C$28)*100,1)</f>
        <v>16.3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105053</v>
      </c>
      <c r="D13" s="182">
        <f>ROUND((C13/$C$28)*100,1)</f>
        <v>0.5</v>
      </c>
    </row>
    <row r="14" spans="1:4" x14ac:dyDescent="0.2">
      <c r="D14" s="182"/>
    </row>
    <row r="15" spans="1:4" x14ac:dyDescent="0.2">
      <c r="A15">
        <v>2100</v>
      </c>
      <c r="B15" t="s">
        <v>706</v>
      </c>
      <c r="C15" s="179">
        <f>ROUND('DOE25'!L203+'DOE25'!L221+'DOE25'!L239+'DOE25'!L282+'DOE25'!L301+'DOE25'!L320,0)</f>
        <v>1809377</v>
      </c>
      <c r="D15" s="182">
        <f t="shared" ref="D15:D27" si="0">ROUND((C15/$C$28)*100,1)</f>
        <v>7.8</v>
      </c>
    </row>
    <row r="16" spans="1:4" x14ac:dyDescent="0.2">
      <c r="A16">
        <v>2200</v>
      </c>
      <c r="B16" t="s">
        <v>707</v>
      </c>
      <c r="C16" s="179">
        <f>ROUND('DOE25'!L204+'DOE25'!L222+'DOE25'!L240+'DOE25'!L283+'DOE25'!L302+'DOE25'!L321,0)</f>
        <v>2079284</v>
      </c>
      <c r="D16" s="182">
        <f t="shared" si="0"/>
        <v>9</v>
      </c>
    </row>
    <row r="17" spans="1:4" x14ac:dyDescent="0.2">
      <c r="A17" s="183" t="s">
        <v>723</v>
      </c>
      <c r="B17" t="s">
        <v>738</v>
      </c>
      <c r="C17" s="179">
        <f>ROUND('DOE25'!L205+'DOE25'!L210+'DOE25'!L223+'DOE25'!L228+'DOE25'!L241+'DOE25'!L246+'DOE25'!L284+'DOE25'!L289+'DOE25'!L303+'DOE25'!L308+'DOE25'!L322+'DOE25'!L327,0)</f>
        <v>768923</v>
      </c>
      <c r="D17" s="182">
        <f t="shared" si="0"/>
        <v>3.3</v>
      </c>
    </row>
    <row r="18" spans="1:4" x14ac:dyDescent="0.2">
      <c r="A18">
        <v>2400</v>
      </c>
      <c r="B18" t="s">
        <v>711</v>
      </c>
      <c r="C18" s="179">
        <f>ROUND('DOE25'!L206+'DOE25'!L224+'DOE25'!L242+'DOE25'!L285+'DOE25'!L304+'DOE25'!L323,0)</f>
        <v>1098321</v>
      </c>
      <c r="D18" s="182">
        <f t="shared" si="0"/>
        <v>4.8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1752303</v>
      </c>
      <c r="D20" s="182">
        <f t="shared" si="0"/>
        <v>7.6</v>
      </c>
    </row>
    <row r="21" spans="1:4" x14ac:dyDescent="0.2">
      <c r="A21">
        <v>2700</v>
      </c>
      <c r="B21" t="s">
        <v>710</v>
      </c>
      <c r="C21" s="179">
        <f>ROUND('DOE25'!L209+'DOE25'!L227+'DOE25'!L245+'DOE25'!L288+'DOE25'!L307+'DOE25'!L326,0)</f>
        <v>1034803</v>
      </c>
      <c r="D21" s="182">
        <f t="shared" si="0"/>
        <v>4.5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252805</v>
      </c>
      <c r="D24" s="182">
        <f t="shared" si="0"/>
        <v>1.1000000000000001</v>
      </c>
    </row>
    <row r="25" spans="1:4" x14ac:dyDescent="0.2">
      <c r="A25">
        <v>5120</v>
      </c>
      <c r="B25" t="s">
        <v>716</v>
      </c>
      <c r="C25" s="179">
        <f>ROUND('DOE25'!L262+'DOE25'!L343,0)</f>
        <v>920680</v>
      </c>
      <c r="D25" s="182">
        <f t="shared" si="0"/>
        <v>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377665</v>
      </c>
      <c r="D27" s="182">
        <f t="shared" si="0"/>
        <v>1.6</v>
      </c>
    </row>
    <row r="28" spans="1:4" x14ac:dyDescent="0.2">
      <c r="B28" s="187" t="s">
        <v>719</v>
      </c>
      <c r="C28" s="180">
        <f>SUM(C10:C27)</f>
        <v>23115340</v>
      </c>
      <c r="D28" s="184">
        <f>ROUND(SUM(D10:D27),0)</f>
        <v>100</v>
      </c>
    </row>
    <row r="29" spans="1:4" x14ac:dyDescent="0.2">
      <c r="A29">
        <v>4000</v>
      </c>
      <c r="B29" t="s">
        <v>724</v>
      </c>
      <c r="C29" s="179">
        <f>ROUND('DOE25'!L256+'DOE25'!L337+'DOE25'!L375+'DOE25'!L376+'DOE25'!L377+'DOE25'!L378+'DOE25'!L379+'DOE25'!L380+'DOE25'!L381,0)</f>
        <v>475803</v>
      </c>
    </row>
    <row r="30" spans="1:4" x14ac:dyDescent="0.2">
      <c r="B30" s="187" t="s">
        <v>725</v>
      </c>
      <c r="C30" s="180">
        <f>SUM(C28:C29)</f>
        <v>23591143</v>
      </c>
    </row>
    <row r="31" spans="1:4" x14ac:dyDescent="0.2">
      <c r="B31" s="33"/>
      <c r="C31" s="180"/>
    </row>
    <row r="32" spans="1:4" x14ac:dyDescent="0.2">
      <c r="A32">
        <v>5100</v>
      </c>
      <c r="B32" s="33" t="s">
        <v>726</v>
      </c>
      <c r="C32" s="180">
        <f>ROUND('DOE25'!L261+'DOE25'!L342,0)</f>
        <v>580000</v>
      </c>
    </row>
    <row r="34" spans="1:4" x14ac:dyDescent="0.2">
      <c r="A34" s="187" t="s">
        <v>94</v>
      </c>
      <c r="B34" s="188" t="s">
        <v>1667</v>
      </c>
      <c r="C34" s="181" t="s">
        <v>720</v>
      </c>
      <c r="D34" s="181" t="s">
        <v>721</v>
      </c>
    </row>
    <row r="35" spans="1:4" x14ac:dyDescent="0.2">
      <c r="A35">
        <v>1100</v>
      </c>
      <c r="B35" s="185" t="s">
        <v>727</v>
      </c>
      <c r="C35" s="179">
        <f>ROUND('DOE25'!F60+'DOE25'!G60+'DOE25'!H60+'DOE25'!I60+'DOE25'!J60,0)</f>
        <v>17267279</v>
      </c>
      <c r="D35" s="182">
        <f t="shared" ref="D35:D40" si="1">ROUND((C35/$C$41)*100,1)</f>
        <v>70.7</v>
      </c>
    </row>
    <row r="36" spans="1:4" x14ac:dyDescent="0.2">
      <c r="B36" s="185" t="s">
        <v>739</v>
      </c>
      <c r="C36" s="179">
        <f>SUM('DOE25'!F112:J112)-SUM('DOE25'!G97:G110)+('DOE25'!F175+'DOE25'!F176+'DOE25'!I175+'DOE25'!I176)-C35</f>
        <v>249877</v>
      </c>
      <c r="D36" s="182">
        <f t="shared" si="1"/>
        <v>1</v>
      </c>
    </row>
    <row r="37" spans="1:4" x14ac:dyDescent="0.2">
      <c r="A37" s="183" t="s">
        <v>835</v>
      </c>
      <c r="B37" s="185" t="s">
        <v>728</v>
      </c>
      <c r="C37" s="179">
        <f>ROUND('DOE25'!F117+'DOE25'!F118,0)</f>
        <v>4906692</v>
      </c>
      <c r="D37" s="182">
        <f t="shared" si="1"/>
        <v>20.100000000000001</v>
      </c>
    </row>
    <row r="38" spans="1:4" x14ac:dyDescent="0.2">
      <c r="A38" s="183" t="s">
        <v>734</v>
      </c>
      <c r="B38" s="185" t="s">
        <v>729</v>
      </c>
      <c r="C38" s="179">
        <f>ROUND(SUM('DOE25'!F140:J140)-SUM('DOE25'!F117:F119),0)</f>
        <v>682874</v>
      </c>
      <c r="D38" s="182">
        <f t="shared" si="1"/>
        <v>2.8</v>
      </c>
    </row>
    <row r="39" spans="1:4" x14ac:dyDescent="0.2">
      <c r="A39">
        <v>4000</v>
      </c>
      <c r="B39" s="185" t="s">
        <v>730</v>
      </c>
      <c r="C39" s="179">
        <f>ROUND('DOE25'!F170+'DOE25'!G170+'DOE25'!H170+'DOE25'!I170,0)</f>
        <v>1320081</v>
      </c>
      <c r="D39" s="182">
        <f t="shared" si="1"/>
        <v>5.4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24426803</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Hampton</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2021-09-01T14:44:19Z</cp:lastPrinted>
  <dcterms:created xsi:type="dcterms:W3CDTF">1997-12-04T19:04:30Z</dcterms:created>
  <dcterms:modified xsi:type="dcterms:W3CDTF">2021-12-07T19:16:24Z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