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3040" windowHeight="939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F44" i="1"/>
  <c r="F5" i="13" l="1"/>
  <c r="F15" i="13"/>
  <c r="F29" i="13"/>
  <c r="B37" i="12"/>
  <c r="B39" i="12" l="1"/>
  <c r="B20" i="12"/>
  <c r="B21" i="12"/>
  <c r="B19" i="12"/>
  <c r="E24" i="17"/>
  <c r="E26" i="17"/>
  <c r="E30" i="17"/>
  <c r="B36" i="16"/>
  <c r="J592" i="1"/>
  <c r="H592" i="1"/>
  <c r="J605" i="1"/>
  <c r="K427" i="1"/>
  <c r="F277" i="1"/>
  <c r="H613" i="1"/>
  <c r="H544" i="1"/>
  <c r="H543" i="1"/>
  <c r="H542" i="1"/>
  <c r="H524" i="1"/>
  <c r="H523" i="1"/>
  <c r="H496" i="1"/>
  <c r="G496" i="1" l="1"/>
  <c r="F496" i="1"/>
  <c r="G499" i="1"/>
  <c r="F499" i="1"/>
  <c r="H499" i="1"/>
  <c r="F9" i="1"/>
  <c r="H473" i="1"/>
  <c r="H469" i="1"/>
  <c r="K419" i="1"/>
  <c r="I283" i="1"/>
  <c r="H283" i="1"/>
  <c r="I282" i="1"/>
  <c r="H282" i="1"/>
  <c r="G282" i="1"/>
  <c r="F282" i="1"/>
  <c r="H325" i="1"/>
  <c r="F325" i="1"/>
  <c r="H302" i="1"/>
  <c r="F198" i="1"/>
  <c r="I222" i="1"/>
  <c r="G222" i="1"/>
  <c r="F222" i="1"/>
  <c r="F239" i="1"/>
  <c r="F240" i="1"/>
  <c r="F241" i="1"/>
  <c r="F242" i="1"/>
  <c r="F244" i="1"/>
  <c r="H245" i="1"/>
  <c r="H244" i="1"/>
  <c r="H242" i="1"/>
  <c r="H241" i="1"/>
  <c r="H240" i="1"/>
  <c r="H239" i="1"/>
  <c r="H237" i="1"/>
  <c r="H235" i="1"/>
  <c r="H234" i="1"/>
  <c r="H227" i="1"/>
  <c r="H226" i="1"/>
  <c r="H224" i="1"/>
  <c r="H223" i="1"/>
  <c r="H222" i="1"/>
  <c r="H221" i="1"/>
  <c r="H219" i="1"/>
  <c r="H217" i="1"/>
  <c r="H216" i="1"/>
  <c r="H198" i="1"/>
  <c r="H209" i="1"/>
  <c r="H208" i="1"/>
  <c r="H206" i="1"/>
  <c r="H205" i="1"/>
  <c r="H203" i="1"/>
  <c r="H199" i="1"/>
  <c r="I198" i="1"/>
  <c r="H159" i="1"/>
  <c r="H110" i="1"/>
  <c r="H155" i="1"/>
  <c r="G110" i="1"/>
  <c r="G158" i="1"/>
  <c r="F110" i="1"/>
  <c r="F96" i="1"/>
  <c r="I48" i="1"/>
  <c r="H48" i="1"/>
  <c r="H24" i="1"/>
  <c r="H22" i="1"/>
  <c r="H13" i="1"/>
  <c r="F48" i="1"/>
  <c r="F29" i="1" l="1"/>
  <c r="F24" i="1"/>
  <c r="E7" i="17" l="1"/>
  <c r="H31" i="17" s="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C112" i="2" s="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1" i="2"/>
  <c r="E124"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3" i="1"/>
  <c r="H653" i="1"/>
  <c r="G654" i="1"/>
  <c r="H654" i="1"/>
  <c r="G655" i="1"/>
  <c r="H655" i="1"/>
  <c r="H656" i="1"/>
  <c r="I170" i="1"/>
  <c r="J572" i="1" l="1"/>
  <c r="H477" i="1"/>
  <c r="H625" i="1" s="1"/>
  <c r="E110" i="2"/>
  <c r="C12" i="10"/>
  <c r="E13" i="13"/>
  <c r="C13" i="13" s="1"/>
  <c r="H409" i="1"/>
  <c r="H645" i="1" s="1"/>
  <c r="D50" i="2"/>
  <c r="E120" i="2"/>
  <c r="G646" i="1"/>
  <c r="J646" i="1" s="1"/>
  <c r="J652" i="1"/>
  <c r="G553" i="1"/>
  <c r="G477" i="1"/>
  <c r="H624" i="1" s="1"/>
  <c r="J624" i="1" s="1"/>
  <c r="G662" i="1"/>
  <c r="E112" i="2"/>
  <c r="E123" i="2"/>
  <c r="E119" i="2"/>
  <c r="G339" i="1"/>
  <c r="G353" i="1" s="1"/>
  <c r="K339" i="1"/>
  <c r="K353" i="1" s="1"/>
  <c r="C125" i="2"/>
  <c r="H663" i="1"/>
  <c r="C13" i="10"/>
  <c r="C110" i="2"/>
  <c r="G663" i="1"/>
  <c r="D15" i="13"/>
  <c r="C15" i="13" s="1"/>
  <c r="C119" i="2"/>
  <c r="D6" i="13"/>
  <c r="C6" i="13" s="1"/>
  <c r="A40" i="12"/>
  <c r="C121" i="2"/>
  <c r="C120" i="2"/>
  <c r="J258" i="1"/>
  <c r="J656" i="1"/>
  <c r="F258" i="1"/>
  <c r="F272" i="1" s="1"/>
  <c r="C20" i="10"/>
  <c r="I370" i="1"/>
  <c r="H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B33" i="16"/>
  <c r="L615" i="1"/>
  <c r="K599" i="1"/>
  <c r="G648" i="1" s="1"/>
  <c r="K572" i="1"/>
  <c r="L571" i="1"/>
  <c r="H572" i="1"/>
  <c r="L566" i="1"/>
  <c r="L572" i="1" s="1"/>
  <c r="I572" i="1"/>
  <c r="K546" i="1"/>
  <c r="H52" i="1"/>
  <c r="H620" i="1" s="1"/>
  <c r="J620" i="1" s="1"/>
  <c r="C114" i="2"/>
  <c r="G112" i="1"/>
  <c r="B10" i="16" s="1"/>
  <c r="E118" i="2"/>
  <c r="L248" i="1"/>
  <c r="L212" i="1"/>
  <c r="F661" i="1" s="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C141" i="2" l="1"/>
  <c r="C144" i="2" s="1"/>
  <c r="E128" i="2"/>
  <c r="E145" i="2" s="1"/>
  <c r="G24" i="14"/>
  <c r="H24" i="14" s="1"/>
  <c r="I24" i="14" s="1"/>
  <c r="H649" i="1"/>
  <c r="J649" i="1" s="1"/>
  <c r="H661" i="1"/>
  <c r="H665" i="1" s="1"/>
  <c r="H668" i="1" s="1"/>
  <c r="J272" i="1"/>
  <c r="H194" i="1"/>
  <c r="G630" i="1" s="1"/>
  <c r="J630" i="1" s="1"/>
  <c r="C81" i="2"/>
  <c r="F194" i="1"/>
  <c r="G628" i="1" s="1"/>
  <c r="J628" i="1" s="1"/>
  <c r="E51" i="2"/>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state’s share of the revenue on this page.  Do not lump sum the state and federal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<sst xmlns="http://schemas.openxmlformats.org/spreadsheetml/2006/main" count="5582" uniqueCount="1681">
  <si>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</si>
  <si>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</si>
  <si>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</si>
  <si>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</si>
  <si>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</si>
  <si>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</si>
  <si>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</si>
  <si>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</si>
  <si>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</si>
  <si>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</si>
  <si>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</si>
  <si>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</si>
  <si>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</si>
  <si>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</si>
  <si>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</si>
  <si>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</si>
  <si>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</si>
  <si>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</si>
  <si>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</si>
  <si>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</si>
  <si>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</si>
  <si>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</si>
  <si>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</si>
  <si>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</si>
  <si>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</si>
  <si>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</si>
  <si>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</si>
  <si>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</si>
  <si>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</si>
  <si>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</si>
  <si>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</si>
  <si>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</si>
  <si>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</si>
  <si>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</si>
  <si>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</si>
  <si>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</si>
  <si>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</si>
  <si>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</si>
  <si>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</si>
  <si>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</si>
  <si>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</si>
  <si>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</si>
  <si>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</si>
  <si>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</si>
  <si>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</si>
  <si>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</si>
  <si>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</si>
  <si>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</si>
  <si>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</si>
  <si>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</si>
  <si>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</si>
  <si>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</si>
  <si>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</si>
  <si>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</si>
  <si>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</si>
  <si>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</si>
  <si>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</si>
  <si>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</si>
  <si>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</si>
  <si>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</si>
  <si>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</si>
  <si>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</si>
  <si>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</si>
  <si>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</si>
  <si>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</si>
  <si>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</si>
  <si>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</si>
  <si>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</si>
  <si>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</si>
  <si>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</si>
  <si>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</si>
  <si>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</si>
  <si>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</si>
  <si>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</si>
  <si>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</si>
  <si>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</si>
  <si>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</si>
  <si>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</si>
  <si>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</si>
  <si>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</si>
  <si>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</si>
  <si>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</si>
  <si>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</si>
  <si>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</si>
  <si>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</si>
  <si>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</si>
  <si>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</si>
  <si>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</si>
  <si>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</si>
  <si>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</si>
  <si>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</si>
  <si>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</si>
  <si>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</si>
  <si>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</si>
  <si>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</si>
  <si>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</si>
  <si>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</si>
  <si>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</si>
  <si>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</si>
  <si>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</si>
  <si>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</si>
  <si>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</si>
  <si>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</si>
  <si>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</si>
  <si>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</si>
  <si>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</si>
  <si>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</si>
  <si>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</si>
  <si>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</si>
  <si>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</si>
  <si>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</si>
  <si>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</si>
  <si>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</si>
  <si>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</si>
  <si>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</si>
  <si>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</si>
  <si>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</si>
  <si>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</si>
  <si>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</si>
  <si>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</si>
  <si>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</si>
  <si>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</si>
  <si>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</si>
  <si>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</si>
  <si>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</si>
  <si>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</si>
  <si>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</si>
  <si>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</si>
  <si>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</si>
  <si>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</si>
  <si>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</si>
  <si>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</si>
  <si>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</si>
  <si>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</si>
  <si>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</si>
  <si>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</si>
  <si>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</si>
  <si>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</si>
  <si>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</si>
  <si>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</si>
  <si>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</si>
  <si>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</si>
  <si>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</si>
  <si>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</si>
  <si>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</si>
  <si>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</si>
  <si>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</si>
  <si>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</si>
  <si>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</si>
  <si>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</si>
  <si>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</si>
  <si>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</si>
  <si>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</si>
  <si>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</si>
  <si>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</si>
  <si>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</si>
  <si>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</si>
  <si>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</si>
  <si>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</si>
  <si>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</si>
  <si>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</si>
  <si>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</si>
  <si>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</si>
  <si>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</si>
  <si>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</si>
  <si>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</si>
  <si>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</si>
  <si>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</si>
  <si>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</si>
  <si>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</si>
  <si>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</si>
  <si>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</si>
  <si>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</si>
  <si>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</si>
  <si>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</si>
  <si>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</si>
  <si>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</si>
  <si>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</si>
  <si>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</si>
  <si>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</si>
  <si>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</si>
  <si>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</si>
  <si>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</si>
  <si>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</si>
  <si>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</si>
  <si>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</si>
  <si>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</si>
  <si>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</si>
  <si>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</si>
  <si>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</si>
  <si>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</si>
  <si>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</si>
  <si>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</si>
  <si>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</si>
  <si>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</si>
  <si>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</si>
  <si>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</si>
  <si>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</si>
  <si>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</si>
  <si>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</si>
  <si>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</si>
  <si>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</si>
  <si>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</si>
  <si>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</si>
  <si>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</si>
  <si>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</si>
  <si>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</si>
  <si>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</si>
  <si>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</si>
  <si>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</si>
  <si>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</si>
  <si>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</si>
  <si>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</si>
  <si>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</si>
  <si>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</si>
  <si>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</si>
  <si>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</si>
  <si>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</si>
  <si>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</si>
  <si>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</si>
  <si>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</si>
  <si>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</si>
  <si>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</si>
  <si>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</si>
  <si>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</si>
  <si>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</si>
  <si>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</si>
  <si>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</si>
  <si>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</si>
  <si>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</si>
  <si>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</si>
  <si>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</si>
  <si>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</si>
  <si>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</si>
  <si>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</si>
  <si>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</si>
  <si>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</si>
  <si>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</si>
  <si>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</si>
  <si>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</si>
  <si>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</si>
  <si>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</si>
  <si>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</si>
  <si>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</si>
  <si>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</si>
  <si>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</si>
  <si>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</si>
  <si>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</si>
  <si>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</si>
  <si>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</si>
  <si>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</si>
  <si>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</si>
  <si>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</si>
  <si>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</si>
  <si>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</si>
  <si>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</si>
  <si>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</si>
  <si>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</si>
  <si>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</si>
  <si>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</si>
  <si>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</si>
  <si>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</si>
  <si>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</si>
  <si>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</si>
  <si>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</si>
  <si>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</si>
  <si>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</si>
  <si>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</si>
  <si>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</si>
  <si>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</si>
  <si>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</si>
  <si>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</si>
  <si>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</si>
  <si>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</si>
  <si>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</si>
  <si>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</si>
  <si>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</si>
  <si>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</si>
  <si>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</si>
  <si>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</si>
  <si>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</si>
  <si>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</si>
  <si>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</si>
  <si>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</si>
  <si>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</si>
  <si>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</si>
  <si>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</si>
  <si>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</si>
  <si>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</si>
  <si>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</si>
  <si>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</si>
  <si>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</si>
  <si>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</si>
  <si>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</si>
  <si>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</si>
  <si>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</si>
  <si>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</si>
  <si>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</si>
  <si>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</si>
  <si>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</si>
  <si>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</si>
  <si>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</si>
  <si>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</si>
  <si>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</si>
  <si>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</si>
  <si>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</si>
  <si>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</si>
  <si>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</si>
  <si>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</si>
  <si>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</si>
  <si>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</si>
  <si>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</si>
  <si>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</si>
  <si>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</si>
  <si>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</si>
  <si>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</si>
  <si>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</si>
  <si>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</si>
  <si>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</si>
  <si>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</si>
  <si>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</si>
  <si>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</si>
  <si>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</si>
  <si>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</si>
  <si>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</si>
  <si>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</si>
  <si>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</si>
  <si>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</si>
  <si>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</si>
  <si>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</si>
  <si>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</si>
  <si>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</si>
  <si>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</si>
  <si>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</si>
  <si>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</si>
  <si>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</si>
  <si>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</si>
  <si>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</si>
  <si>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</si>
  <si>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</si>
  <si>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</si>
  <si>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</si>
  <si>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</si>
  <si>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</si>
  <si>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</si>
  <si>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</si>
  <si>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</si>
  <si>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</si>
  <si>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</si>
  <si>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</si>
  <si>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</si>
  <si>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</si>
  <si>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</si>
  <si>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</si>
  <si>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</si>
  <si>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</si>
  <si>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</si>
  <si>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</si>
  <si>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</si>
  <si>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</si>
  <si>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</si>
  <si>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</si>
  <si>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</si>
  <si>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</si>
  <si>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</si>
  <si>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</si>
  <si>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</si>
  <si>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</si>
  <si>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</si>
  <si>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</si>
  <si>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</si>
  <si>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</si>
  <si>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</si>
  <si>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</si>
  <si>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</si>
  <si>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</si>
  <si>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</si>
  <si>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</si>
  <si>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</si>
  <si>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</si>
  <si>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</si>
  <si>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</si>
  <si>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</si>
  <si>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</si>
  <si>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</si>
  <si>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</si>
  <si>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</si>
  <si>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</si>
  <si>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</si>
  <si>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</si>
  <si>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</si>
  <si>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</si>
  <si>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</si>
  <si>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</si>
  <si>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</si>
  <si>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</si>
  <si>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</si>
  <si>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</si>
  <si>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</si>
  <si>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</si>
  <si>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</si>
  <si>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</si>
  <si>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</si>
  <si>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</si>
  <si>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</si>
  <si>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</si>
  <si>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</si>
  <si>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</si>
  <si>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</si>
  <si>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</si>
  <si>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</si>
  <si>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</si>
  <si>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</si>
  <si>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</si>
  <si>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</si>
  <si>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</si>
  <si>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</si>
  <si>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</si>
  <si>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</si>
  <si>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</si>
  <si>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</si>
  <si>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</si>
  <si>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</si>
  <si>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</si>
  <si>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</si>
  <si>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</si>
  <si>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</si>
  <si>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</si>
  <si>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</si>
  <si>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</si>
  <si>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</si>
  <si>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</si>
  <si>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</si>
  <si>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</si>
  <si>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</si>
  <si>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</si>
  <si>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</si>
  <si>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</si>
  <si>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</si>
  <si>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</si>
  <si>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</si>
  <si>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</si>
  <si>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</si>
  <si>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</si>
  <si>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</si>
  <si>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</si>
  <si>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</si>
  <si>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</si>
  <si>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</si>
  <si>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</si>
  <si>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</si>
  <si>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</si>
  <si>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</si>
  <si>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</si>
  <si>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</si>
  <si>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</si>
  <si>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</si>
  <si>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</si>
  <si>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</si>
  <si>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</si>
  <si>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</si>
  <si>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</si>
  <si>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</si>
  <si>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</si>
  <si>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</si>
  <si>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</si>
  <si>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</si>
  <si>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</si>
  <si>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</si>
  <si>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</si>
  <si>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</si>
  <si>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</si>
  <si>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</si>
  <si>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</si>
  <si>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</si>
  <si>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</si>
  <si>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</si>
  <si>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</si>
  <si>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</si>
  <si>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</si>
  <si>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</si>
  <si>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</si>
  <si>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</si>
  <si>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</si>
  <si>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</si>
  <si>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</si>
  <si>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</si>
  <si>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</si>
  <si>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</si>
  <si>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</si>
  <si>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</si>
  <si>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</si>
  <si>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</si>
  <si>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</si>
  <si>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</si>
  <si>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</si>
  <si>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</si>
  <si>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</si>
  <si>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</si>
  <si>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</si>
  <si>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</si>
  <si>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</si>
  <si>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</si>
  <si>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</si>
  <si>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</si>
  <si>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</si>
  <si>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</si>
  <si>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</si>
  <si>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</si>
  <si>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</si>
  <si>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</si>
  <si>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</si>
  <si>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</si>
  <si>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</si>
  <si>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</si>
  <si>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</si>
  <si>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</si>
  <si>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</si>
  <si>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</si>
  <si>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</si>
  <si>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</si>
  <si>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</si>
  <si>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</si>
  <si>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</si>
  <si>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</si>
  <si>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</si>
  <si>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</si>
  <si>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</si>
  <si>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</si>
  <si>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</si>
  <si>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</si>
  <si>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</si>
  <si>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</si>
  <si>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</si>
  <si>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</si>
  <si>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</si>
  <si>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</si>
  <si>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</si>
  <si>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</si>
  <si>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</si>
  <si>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</si>
  <si>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</si>
  <si>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</si>
  <si>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</si>
  <si>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</si>
  <si>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</si>
  <si>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</si>
  <si>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</si>
  <si>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</si>
  <si>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</si>
  <si>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</si>
  <si>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</si>
  <si>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</si>
  <si>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</si>
  <si>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</si>
  <si>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</si>
  <si>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</si>
  <si>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</si>
  <si>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</si>
  <si>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</si>
  <si>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</si>
  <si>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</si>
  <si>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</si>
  <si>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</si>
  <si>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</si>
  <si>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</si>
  <si>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</si>
  <si>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</si>
  <si>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</si>
  <si>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</si>
  <si>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</si>
  <si>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</si>
  <si>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</si>
  <si>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</si>
  <si>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</si>
  <si>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</si>
  <si>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</si>
  <si>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</si>
  <si>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</si>
  <si>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</si>
  <si>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</si>
  <si>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</si>
  <si>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</si>
  <si>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</si>
  <si>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</si>
  <si>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</si>
  <si>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</si>
  <si>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</si>
  <si>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</si>
  <si>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</si>
  <si>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</si>
  <si>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</si>
  <si>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</si>
  <si>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</si>
  <si>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</si>
  <si>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</si>
  <si>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</si>
  <si>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</si>
  <si>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</si>
  <si>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</si>
  <si>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</si>
  <si>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</si>
  <si>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</si>
  <si>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</si>
  <si>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</si>
  <si>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</si>
  <si>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</si>
  <si>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</si>
  <si>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</si>
  <si>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</si>
  <si>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</si>
  <si>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</si>
  <si>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</si>
  <si>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</si>
  <si>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</si>
  <si>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</si>
  <si>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</si>
  <si>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</si>
  <si>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</si>
  <si>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</si>
  <si>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</si>
  <si>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</si>
  <si>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</si>
  <si>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</si>
  <si>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</si>
  <si>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</si>
  <si>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</si>
  <si>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</si>
  <si>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</si>
  <si>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</si>
  <si>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</si>
  <si>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</si>
  <si>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</si>
  <si>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</si>
  <si>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</si>
  <si>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</si>
  <si>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</si>
  <si>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</si>
  <si>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</si>
  <si>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</si>
  <si>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</si>
  <si>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</si>
  <si>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</si>
  <si>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</si>
  <si>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</si>
  <si>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</si>
  <si>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</si>
  <si>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</si>
  <si>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</si>
  <si>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</si>
  <si>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</si>
  <si>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</si>
  <si>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</si>
  <si>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</si>
  <si>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</si>
  <si>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</si>
  <si>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</si>
  <si>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</si>
  <si>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</si>
  <si>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</si>
  <si>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</si>
  <si>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</si>
  <si>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</si>
  <si>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</si>
  <si>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</si>
  <si>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</si>
  <si>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</si>
  <si>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</si>
  <si>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</si>
  <si>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</si>
  <si>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</si>
  <si>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</si>
  <si>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</si>
  <si>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</si>
  <si>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</si>
  <si>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</si>
  <si>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</si>
  <si>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</si>
  <si>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</si>
  <si>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</si>
  <si>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</si>
  <si>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</si>
  <si>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</si>
  <si>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</si>
  <si>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</si>
  <si>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</si>
  <si>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</si>
  <si>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</si>
  <si>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</si>
  <si>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</si>
  <si>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</si>
  <si>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</si>
  <si>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</si>
  <si>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</si>
  <si>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</si>
  <si>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</si>
  <si>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</si>
  <si>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</si>
  <si>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</si>
  <si>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</si>
  <si>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</si>
  <si>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</si>
  <si>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</si>
  <si>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</si>
  <si>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</si>
  <si>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</si>
  <si>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</si>
  <si>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</si>
  <si>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</si>
  <si>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</si>
  <si>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</si>
  <si>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</si>
  <si>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</si>
  <si>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</si>
  <si>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</si>
  <si>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</si>
  <si>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</si>
  <si>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</si>
  <si>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</si>
  <si>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</si>
  <si>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</si>
  <si>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</si>
  <si>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</si>
  <si>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</si>
  <si>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</si>
  <si>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</si>
  <si>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</si>
  <si>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</si>
  <si>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</si>
  <si>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</si>
  <si>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</si>
  <si>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</si>
  <si>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</si>
  <si>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</si>
  <si>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</si>
  <si>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</si>
  <si>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</si>
  <si>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</si>
  <si>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</si>
  <si>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</si>
  <si>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</si>
  <si>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</si>
  <si>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</si>
  <si>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</si>
  <si>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</si>
  <si>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</si>
  <si>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</si>
  <si>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</si>
  <si>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</si>
  <si>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</si>
  <si>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</si>
  <si>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</si>
  <si>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</si>
  <si>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</si>
  <si>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</si>
  <si>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</si>
  <si>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</si>
  <si>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</si>
  <si>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</si>
  <si>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</si>
  <si>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</si>
  <si>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</si>
  <si>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</si>
  <si>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</si>
  <si>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</si>
  <si>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</si>
  <si>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</si>
  <si>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</si>
  <si>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</si>
  <si>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</si>
  <si>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</si>
  <si>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</si>
  <si>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</si>
  <si>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</si>
  <si>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</si>
  <si>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</si>
  <si>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</si>
  <si>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</si>
  <si>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</si>
  <si>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</si>
  <si>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</si>
  <si>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</si>
  <si>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</si>
  <si>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</si>
  <si>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</si>
  <si>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</si>
  <si>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</si>
  <si>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</si>
  <si>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</si>
  <si>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</si>
  <si>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</si>
  <si>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</si>
  <si>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</si>
  <si>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</si>
  <si>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</si>
  <si>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</si>
  <si>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</si>
  <si>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</si>
  <si>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</si>
  <si>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</si>
  <si>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</si>
  <si>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</si>
  <si>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</si>
  <si>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</si>
  <si>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</si>
  <si>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</si>
  <si>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</si>
  <si>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</si>
  <si>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</si>
  <si>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</si>
  <si>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</si>
  <si>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</si>
  <si>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</si>
  <si>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</si>
  <si>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</si>
  <si>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</si>
  <si>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</si>
  <si>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</si>
  <si>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</si>
  <si>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</si>
  <si>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</si>
  <si>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</si>
  <si>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</si>
  <si>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</si>
  <si>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</si>
  <si>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</si>
  <si>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</si>
  <si>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</si>
  <si>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</si>
  <si>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</si>
  <si>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</si>
  <si>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</si>
  <si>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</si>
  <si>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</si>
  <si>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</si>
  <si>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</si>
  <si>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</si>
  <si>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</si>
  <si>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</si>
  <si>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</si>
  <si>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</si>
  <si>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</si>
  <si>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</si>
  <si>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</si>
  <si>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</si>
  <si>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</si>
  <si>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</si>
  <si>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</si>
  <si>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</si>
  <si>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</si>
  <si>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</si>
  <si>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</si>
  <si>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</si>
  <si>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</si>
  <si>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</si>
  <si>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</si>
  <si>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</si>
  <si>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</si>
  <si>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</si>
  <si>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</si>
  <si>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</si>
  <si>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</si>
  <si>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</si>
  <si>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</si>
  <si>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</si>
  <si>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</si>
  <si>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</si>
  <si>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</si>
  <si>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</si>
  <si>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</si>
  <si>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</si>
  <si>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</si>
  <si>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</si>
  <si>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</si>
  <si>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</si>
  <si>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</si>
  <si>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</si>
  <si>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</si>
  <si>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</si>
  <si>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</si>
  <si>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</si>
  <si>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</si>
  <si>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</si>
  <si>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</si>
  <si>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</si>
  <si>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</si>
  <si>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</si>
  <si>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</si>
  <si>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</si>
  <si>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</si>
  <si>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</si>
  <si>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</si>
  <si>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</si>
  <si>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</si>
  <si>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</si>
  <si>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</si>
  <si>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</si>
  <si>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</si>
  <si>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</si>
  <si>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</si>
  <si>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</si>
  <si>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</si>
  <si>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</si>
  <si>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</si>
  <si>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</si>
  <si>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</si>
  <si>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</si>
  <si>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</si>
  <si>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</si>
  <si>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</si>
  <si>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</si>
  <si>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</si>
  <si>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</si>
  <si>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</si>
  <si>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</si>
  <si>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</si>
  <si>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</si>
  <si>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</si>
  <si>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</si>
  <si>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</si>
  <si>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</si>
  <si>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</si>
  <si>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</si>
  <si>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</si>
  <si>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</si>
  <si>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</si>
  <si>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</si>
  <si>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</si>
  <si>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</si>
  <si>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</si>
  <si>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</si>
  <si>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</si>
  <si>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</si>
  <si>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</si>
  <si>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</si>
  <si>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</si>
  <si>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</si>
  <si>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</si>
  <si>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</si>
  <si>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</si>
  <si>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</si>
  <si>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</si>
  <si>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</si>
  <si>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</si>
  <si>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</si>
  <si>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</si>
  <si>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</si>
  <si>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</si>
  <si>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</si>
  <si>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</si>
  <si>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</si>
  <si>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</si>
  <si>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</si>
  <si>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</si>
  <si>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</si>
  <si>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</si>
  <si>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</si>
  <si>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</si>
  <si>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</si>
  <si>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</si>
  <si>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</si>
  <si>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</si>
  <si>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</si>
  <si>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</si>
  <si>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</si>
  <si>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</si>
  <si>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</si>
  <si>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</si>
  <si>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</si>
  <si>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</si>
  <si>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</si>
  <si>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</si>
  <si>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</si>
  <si>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</si>
  <si>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</si>
  <si>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</si>
  <si>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</si>
  <si>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</si>
  <si>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</si>
  <si>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</si>
  <si>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</si>
  <si>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</si>
  <si>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</si>
  <si>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</si>
  <si>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</si>
  <si>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</si>
  <si>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</si>
  <si>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</si>
  <si>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</si>
  <si>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</si>
  <si>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</si>
  <si>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</si>
  <si>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</si>
  <si>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</si>
  <si>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</si>
  <si>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</si>
  <si>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</si>
  <si>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</si>
  <si>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</si>
  <si>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</si>
  <si>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</si>
  <si>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</si>
  <si>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</si>
  <si>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</si>
  <si>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</si>
  <si>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</si>
  <si>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</si>
  <si>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</si>
  <si>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</si>
  <si>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</si>
  <si>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</si>
  <si>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</si>
  <si>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</si>
  <si>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</si>
  <si>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</si>
  <si>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</si>
  <si>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</si>
  <si>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</si>
  <si>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</si>
  <si>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</si>
  <si>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</si>
  <si>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</si>
  <si>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</si>
  <si>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</si>
  <si>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</si>
  <si>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</si>
  <si>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</si>
  <si>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</si>
  <si>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</si>
  <si>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</si>
  <si>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</si>
  <si>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</si>
  <si>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</si>
  <si>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</si>
  <si>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</si>
  <si>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</si>
  <si>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</si>
  <si>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</si>
  <si>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</si>
  <si>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</si>
  <si>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</si>
  <si>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</si>
  <si>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</si>
  <si>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</si>
  <si>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</si>
  <si>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</si>
  <si>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</si>
  <si>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</si>
  <si>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</si>
  <si>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</si>
  <si>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</si>
  <si>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</si>
  <si>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</si>
  <si>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</si>
  <si>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</si>
  <si>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</si>
  <si>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</si>
  <si>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</si>
  <si>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</si>
  <si>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</si>
  <si>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</si>
  <si>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</si>
  <si>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</si>
  <si>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</si>
  <si>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</si>
  <si>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</si>
  <si>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</si>
  <si>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</si>
  <si>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</si>
  <si>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</si>
  <si>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</si>
  <si>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</si>
  <si>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</si>
  <si>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</si>
  <si>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</si>
  <si>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</si>
  <si>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</si>
  <si>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</si>
  <si>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</si>
  <si>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</si>
  <si>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</si>
  <si>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</si>
  <si>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</si>
  <si>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</si>
  <si>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</si>
  <si>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</si>
  <si>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</si>
  <si>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</si>
  <si>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</si>
  <si>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</si>
  <si>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</si>
  <si>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</si>
  <si>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</si>
  <si>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</si>
  <si>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</si>
  <si>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</si>
  <si>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</si>
  <si>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</si>
  <si>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</si>
  <si>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</si>
  <si>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</si>
  <si>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</si>
  <si>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</si>
  <si>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</si>
  <si>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</si>
  <si>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</si>
  <si>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</si>
  <si>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</si>
  <si>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</si>
  <si>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</si>
  <si>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</si>
  <si>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</si>
  <si>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</si>
  <si>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</si>
  <si>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</si>
  <si>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</si>
  <si>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</si>
  <si>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</si>
  <si>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</si>
  <si>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</si>
  <si>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</si>
  <si>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</si>
  <si>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</si>
  <si>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</si>
  <si>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</si>
  <si>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</si>
  <si>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</si>
  <si>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</si>
  <si>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</si>
  <si>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</si>
  <si>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</si>
  <si>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</si>
  <si>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</si>
  <si>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</si>
  <si>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</si>
  <si>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</si>
  <si>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</si>
  <si>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</si>
  <si>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</si>
  <si>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</si>
  <si>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</si>
  <si>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</si>
  <si>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</si>
  <si>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</si>
  <si>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</si>
  <si>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</si>
  <si>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</si>
  <si>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</si>
  <si>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</si>
  <si>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</si>
  <si>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</si>
  <si>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</si>
  <si>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</si>
  <si>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</si>
  <si>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</si>
  <si>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</si>
  <si>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</si>
  <si>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</si>
  <si>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</si>
  <si>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</si>
  <si>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</si>
  <si>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</si>
  <si>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</si>
  <si>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</si>
  <si>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</si>
  <si>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</si>
  <si>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</si>
  <si>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</si>
  <si>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</si>
  <si>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</si>
  <si>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</si>
  <si>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</si>
  <si>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</si>
  <si>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</si>
  <si>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</si>
  <si>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</si>
  <si>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</si>
  <si>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</si>
  <si>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</si>
  <si>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</si>
  <si>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</si>
  <si>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</si>
  <si>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</si>
  <si>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</si>
  <si>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</si>
  <si>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</si>
  <si>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</si>
  <si>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</si>
  <si>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</si>
  <si>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</si>
  <si>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</si>
  <si>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</si>
  <si>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</si>
  <si>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</si>
  <si>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</si>
  <si>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</si>
  <si>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</si>
  <si>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</si>
  <si>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</si>
  <si>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</si>
  <si>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</si>
  <si>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</si>
  <si>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</si>
  <si>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</si>
  <si>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</si>
  <si>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</si>
  <si>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</si>
  <si>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</si>
  <si>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</si>
  <si>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</si>
  <si>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</si>
  <si>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</si>
  <si>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</si>
  <si>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</si>
  <si>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</si>
  <si>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</si>
  <si>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</si>
  <si>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</si>
  <si>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</si>
  <si>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</si>
  <si>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</si>
  <si>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</si>
  <si>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</si>
  <si>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</si>
  <si>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</si>
  <si>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</si>
  <si>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</si>
  <si>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</si>
  <si>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</si>
  <si>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</si>
  <si>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</si>
  <si>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</si>
  <si>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</si>
  <si>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</si>
  <si>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</si>
  <si>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</si>
  <si>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</si>
  <si>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</si>
  <si>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</si>
  <si>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</si>
  <si>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</si>
  <si>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</si>
  <si>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</si>
  <si>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</si>
  <si>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</si>
  <si>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</si>
  <si>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</si>
  <si>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</si>
  <si>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</si>
  <si>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</si>
  <si>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</si>
  <si>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</si>
  <si>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</si>
  <si>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</si>
  <si>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</si>
  <si>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</si>
  <si>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</si>
  <si>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</si>
  <si>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</si>
  <si>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</si>
  <si>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</si>
  <si>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</si>
  <si>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</si>
  <si>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</si>
  <si>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</si>
  <si>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</si>
  <si>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</si>
  <si>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</si>
  <si>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</si>
  <si>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</si>
  <si>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</si>
  <si>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</si>
  <si>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</si>
  <si>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</si>
  <si>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</si>
  <si>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</si>
  <si>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</si>
  <si>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</si>
  <si>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</si>
  <si>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</si>
  <si>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</si>
  <si>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</si>
  <si>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</si>
  <si>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</si>
  <si>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</si>
  <si>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</si>
  <si>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</si>
  <si>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</si>
  <si>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</si>
  <si>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</si>
  <si>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</si>
  <si>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</si>
  <si>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</si>
  <si>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</si>
  <si>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</si>
  <si>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</si>
  <si>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</si>
  <si>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</si>
  <si>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</si>
  <si>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</si>
  <si>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</si>
  <si>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</si>
  <si>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</si>
  <si>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</si>
  <si>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</si>
  <si>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</si>
  <si>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</si>
  <si>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</si>
  <si>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</si>
  <si>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</si>
  <si>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</si>
  <si>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</si>
  <si>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</si>
  <si>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</si>
  <si>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</si>
  <si>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</si>
  <si>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</si>
  <si>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</si>
  <si>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</si>
  <si>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</si>
  <si>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</si>
  <si>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</si>
  <si>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</si>
  <si>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</si>
  <si>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</si>
  <si>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</si>
  <si>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</si>
  <si>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</si>
  <si>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</si>
  <si>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</si>
  <si>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</si>
  <si>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</si>
  <si>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</si>
  <si>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</si>
  <si>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</si>
  <si>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</si>
  <si>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</si>
  <si>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</si>
  <si>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</si>
  <si>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</si>
  <si>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</si>
  <si>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</si>
  <si>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</si>
  <si>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</si>
  <si>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</si>
  <si>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</si>
  <si>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</si>
  <si>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</si>
  <si>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</si>
  <si>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</si>
  <si>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</si>
  <si>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</si>
  <si>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</si>
  <si>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</si>
  <si>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</si>
  <si>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</si>
  <si>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</si>
  <si>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</si>
  <si>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</si>
  <si>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</si>
  <si>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</si>
  <si>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</si>
  <si>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</si>
  <si>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</si>
  <si>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</si>
  <si>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</si>
  <si>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</si>
  <si>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</si>
  <si>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</si>
  <si>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</si>
  <si>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</si>
  <si>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</si>
  <si>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</si>
  <si>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</si>
  <si>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</si>
  <si>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</si>
  <si>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</si>
  <si>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</si>
  <si>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</si>
  <si>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</si>
  <si>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</si>
  <si>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</si>
  <si>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</si>
  <si>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</si>
  <si>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</si>
  <si>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</si>
  <si>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</si>
  <si>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</si>
  <si>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</si>
  <si>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</si>
  <si>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</si>
  <si>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</si>
  <si>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</si>
  <si>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</si>
  <si>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</si>
  <si>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</si>
  <si>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</si>
  <si>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</si>
  <si>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</si>
  <si>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</si>
  <si>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</si>
  <si>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</si>
  <si>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</si>
  <si>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</si>
  <si>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</si>
  <si>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</si>
  <si>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</si>
  <si>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</si>
  <si>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</si>
  <si>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</si>
  <si>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</si>
  <si>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</si>
  <si>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</si>
  <si>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</si>
  <si>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</si>
  <si>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</si>
  <si>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</si>
  <si>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</si>
  <si>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</si>
  <si>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</si>
  <si>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</si>
  <si>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</si>
  <si>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</si>
  <si>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</si>
  <si>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</si>
  <si>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</si>
  <si>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</si>
  <si>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</si>
  <si>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</si>
  <si>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</si>
  <si>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</si>
  <si>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</si>
  <si>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</si>
  <si>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</si>
  <si>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</si>
  <si>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</si>
  <si>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</si>
  <si>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</si>
  <si>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</si>
  <si>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</si>
  <si>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</si>
  <si>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</si>
  <si>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</si>
  <si>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</si>
  <si>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</si>
  <si>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</si>
  <si>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</si>
  <si>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</si>
  <si>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</si>
  <si>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</si>
  <si>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</si>
  <si>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</si>
  <si>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</si>
  <si>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</si>
  <si>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</si>
  <si>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</si>
  <si>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</si>
  <si>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</si>
  <si>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</si>
  <si>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</si>
  <si>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</si>
  <si>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</si>
  <si>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</si>
  <si>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</si>
  <si>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</si>
  <si>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</si>
  <si>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</si>
  <si>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</si>
  <si>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</si>
  <si>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</si>
  <si>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</si>
  <si>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</si>
  <si>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</si>
  <si>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</si>
  <si>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</si>
  <si>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</si>
  <si>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</si>
  <si>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</si>
  <si>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</si>
  <si>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</si>
  <si>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</si>
  <si>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</si>
  <si>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</si>
  <si>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</si>
  <si>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</si>
  <si>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</si>
  <si>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</si>
  <si>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</si>
  <si>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</si>
  <si>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</si>
  <si>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</si>
  <si>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</si>
  <si>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</si>
  <si>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</si>
  <si>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</si>
  <si>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</si>
  <si>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</si>
  <si>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</si>
  <si>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</si>
  <si>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</si>
  <si>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</si>
  <si>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</si>
  <si>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</si>
  <si>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</si>
  <si>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</si>
  <si>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</si>
  <si>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</si>
  <si>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</si>
  <si>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</si>
  <si>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</si>
  <si>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</si>
  <si>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</si>
  <si>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</si>
  <si>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</si>
  <si>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</si>
  <si>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</si>
  <si>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</si>
  <si>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</si>
  <si>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</si>
  <si>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</si>
  <si>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</si>
  <si>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</si>
  <si>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</si>
  <si>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</si>
  <si>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</si>
  <si>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</si>
  <si>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</si>
  <si>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</si>
  <si>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</si>
  <si>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</si>
  <si>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</si>
  <si>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</si>
  <si>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</si>
  <si>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</si>
  <si>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</si>
  <si>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</si>
  <si>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</si>
  <si>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</si>
  <si>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</si>
  <si>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</si>
  <si>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</si>
  <si>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</si>
  <si>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</si>
  <si>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</si>
  <si>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</si>
  <si>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</si>
  <si>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</si>
  <si>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</si>
  <si>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</si>
  <si>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</si>
  <si>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</si>
  <si>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</si>
  <si>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</si>
  <si>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</si>
  <si>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</si>
  <si>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</si>
  <si>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</si>
  <si>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</si>
  <si>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</si>
  <si>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</si>
  <si>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</si>
  <si>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</si>
  <si>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</si>
  <si>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</si>
  <si>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</si>
  <si>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</si>
  <si>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</si>
  <si>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</si>
  <si>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</si>
  <si>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</si>
  <si>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</si>
  <si>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</si>
  <si>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</si>
  <si>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</si>
  <si>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</si>
  <si>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</si>
  <si>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</si>
  <si>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</si>
  <si>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</si>
  <si>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</si>
  <si>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</si>
  <si>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</si>
  <si>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</si>
  <si>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</si>
  <si>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</si>
  <si>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</si>
  <si>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</si>
  <si>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</si>
  <si>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</si>
  <si>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</si>
  <si>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</si>
  <si>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</si>
  <si>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</si>
  <si>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</si>
  <si>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</si>
  <si>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</si>
  <si>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</si>
  <si>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</si>
  <si>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</si>
  <si>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</si>
  <si>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</si>
  <si>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</si>
  <si>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</si>
  <si>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</si>
  <si>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</si>
  <si>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</si>
  <si>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</si>
  <si>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</si>
  <si>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</si>
  <si>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</si>
  <si>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</si>
  <si>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</si>
  <si>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</si>
  <si>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</si>
  <si>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</si>
  <si>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</si>
  <si>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</si>
  <si>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</si>
  <si>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</si>
  <si>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</si>
  <si>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</si>
  <si>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</si>
  <si>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</si>
  <si>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</si>
  <si>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</si>
  <si>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</si>
  <si>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</si>
  <si>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</si>
  <si>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</si>
  <si>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</si>
  <si>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</si>
  <si>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</si>
  <si>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</si>
  <si>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</si>
  <si>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</si>
  <si>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</si>
  <si>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</si>
  <si>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</si>
  <si>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</si>
  <si>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</si>
  <si>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</si>
  <si>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</si>
  <si>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</si>
  <si>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</si>
  <si>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</si>
  <si>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</si>
  <si>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</si>
  <si>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</si>
  <si>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</si>
  <si>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</si>
  <si>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</si>
  <si>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</si>
  <si>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</si>
  <si>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</si>
  <si>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</si>
  <si>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</si>
  <si>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</si>
  <si>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</si>
  <si>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</si>
  <si>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</si>
  <si>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</si>
  <si>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</si>
  <si>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</si>
  <si>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</si>
  <si>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</si>
  <si>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</si>
  <si>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</si>
  <si>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</si>
  <si>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</si>
  <si>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</si>
  <si>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</si>
  <si>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</si>
  <si>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HAVERHILL COOPERATIVE SCHOOL DISTRICT</t>
  </si>
  <si>
    <t>7/6/2005</t>
  </si>
  <si>
    <t>11/2008</t>
  </si>
  <si>
    <t>6/2018</t>
  </si>
  <si>
    <t>7/5/2021</t>
  </si>
  <si>
    <t>11/2022</t>
  </si>
  <si>
    <t>8/2038</t>
  </si>
  <si>
    <t>School Level Expenditures worksheet:  for the high school, it would not let me enter Woodsville High School #20910</t>
  </si>
  <si>
    <t>I had to go with the generic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</si>
</sst>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38" fontId="5" fillId="0" borderId="0" xfId="0" quotePrefix="1" applyNumberFormat="1" applyFont="1" applyAlignment="1" applyProtection="1">
      <alignment horizontal="center"/>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120" zoomScaleNormal="120" workbookViewId="0">
      <pane xSplit="5" ySplit="3" topLeftCell="F643"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238</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786034+550-1</f>
        <v>786583</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v>909801</v>
      </c>
      <c r="J10" s="67">
        <f>SUM(I441)</f>
        <v>1208204</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892684</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187009</v>
      </c>
      <c r="G13" s="18">
        <v>49828</v>
      </c>
      <c r="H13" s="18">
        <f>145746-1</f>
        <v>145745</v>
      </c>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38586</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236859</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2141721</v>
      </c>
      <c r="G19" s="41">
        <f>SUM(G9:G18)</f>
        <v>49828</v>
      </c>
      <c r="H19" s="41">
        <f>SUM(H9:H18)</f>
        <v>145745</v>
      </c>
      <c r="I19" s="41">
        <f>SUM(I9:I18)</f>
        <v>909801</v>
      </c>
      <c r="J19" s="41">
        <f>SUM(J9:J18)</f>
        <v>1208204</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38341</v>
      </c>
      <c r="H22" s="18">
        <f>67953-6650</f>
        <v>61303</v>
      </c>
      <c r="I22" s="18">
        <v>793040</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f>187093+34232</f>
        <v>221325</v>
      </c>
      <c r="G24" s="18">
        <v>11487</v>
      </c>
      <c r="H24" s="18">
        <f>17953+6625</f>
        <v>24578</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f>218+1976</f>
        <v>2194</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v>59839</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223519</v>
      </c>
      <c r="G32" s="41">
        <f>SUM(G22:G31)</f>
        <v>49828</v>
      </c>
      <c r="H32" s="41">
        <f>SUM(H22:H31)</f>
        <v>145720</v>
      </c>
      <c r="I32" s="41">
        <f>SUM(I22:I31)</f>
        <v>793040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236859</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f>120000+76250</f>
        <v>196250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161146</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f>716898</f>
        <v>716898</v>
      </c>
      <c r="G48" s="18"/>
      <c r="H48" s="18">
        <f>9997+6000-15972</f>
        <v>25</v>
      </c>
      <c r="I48" s="18">
        <f>104173+12588</f>
        <v>116761</v>
      </c>
      <c r="J48" s="13">
        <f>SUM(I460)</f>
        <v>1208204</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f>967337+13184337-13468375-76250</f>
        <v>607049</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1918202</v>
      </c>
      <c r="G51" s="41">
        <f>SUM(G35:G50)</f>
        <v>0</v>
      </c>
      <c r="H51" s="41">
        <f>SUM(H35:H50)</f>
        <v>25</v>
      </c>
      <c r="I51" s="41">
        <f>SUM(I35:I50)</f>
        <v>116761</v>
      </c>
      <c r="J51" s="41">
        <f>SUM(J35:J50)</f>
        <v>1208204</v>
      </c>
      <c r="K51" s="45" t="s">
        <v>288</v>
      </c>
      <c r="L51" s="45" t="s">
        <v>288</v>
      </c>
      <c r="N51" s="262"/>
    </row>
    <row r="52" spans="1:14" s="3" customFormat="1" ht="12.2" customHeight="1" thickTop="1" x14ac:dyDescent="0.15">
      <c r="A52" s="38" t="s">
        <v>455</v>
      </c>
      <c r="B52" s="39" t="s">
        <v>289</v>
      </c>
      <c r="C52" s="6">
        <v>37</v>
      </c>
      <c r="D52" s="39" t="s">
        <v>653</v>
      </c>
      <c r="E52" s="39"/>
      <c r="F52" s="41">
        <f>F51+F32</f>
        <v>2141721</v>
      </c>
      <c r="G52" s="41">
        <f>G51+G32</f>
        <v>49828</v>
      </c>
      <c r="H52" s="41">
        <f>H51+H32</f>
        <v>145745</v>
      </c>
      <c r="I52" s="41">
        <f>I51+I32</f>
        <v>909801</v>
      </c>
      <c r="J52" s="41">
        <f>J51+J32</f>
        <v>1208204</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5802235</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5802235</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1174493</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189584</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1364077</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f>1747+45248</f>
        <v>46995</v>
      </c>
      <c r="G96" s="18"/>
      <c r="H96" s="18"/>
      <c r="I96" s="18">
        <v>12588</v>
      </c>
      <c r="J96" s="18"/>
      <c r="K96" s="24" t="s">
        <v>288</v>
      </c>
      <c r="L96" s="24" t="s">
        <v>288</v>
      </c>
      <c r="M96" s="8"/>
      <c r="N96" s="264"/>
    </row>
    <row r="97" spans="1:14" s="3" customFormat="1" ht="12.2" customHeight="1" x14ac:dyDescent="0.15">
      <c r="A97" s="1" t="s">
        <v>503</v>
      </c>
      <c r="B97" s="2" t="s">
        <v>315</v>
      </c>
      <c r="C97" s="6">
        <v>12</v>
      </c>
      <c r="D97" s="2" t="s">
        <v>430</v>
      </c>
      <c r="E97" s="6">
        <v>1600</v>
      </c>
      <c r="F97" s="24" t="s">
        <v>288</v>
      </c>
      <c r="G97" s="18">
        <v>2371</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38860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13544</v>
      </c>
      <c r="I102" s="18"/>
      <c r="J102" s="18">
        <v>593750</v>
      </c>
      <c r="K102" s="24" t="s">
        <v>288</v>
      </c>
      <c r="L102" s="24" t="s">
        <v>288</v>
      </c>
      <c r="M102" s="8"/>
      <c r="N102" s="264"/>
    </row>
    <row r="103" spans="1:14" s="3" customFormat="1" ht="12.2" customHeight="1" x14ac:dyDescent="0.15">
      <c r="A103" s="1" t="s">
        <v>507</v>
      </c>
      <c r="B103" s="2" t="s">
        <v>315</v>
      </c>
      <c r="C103" s="6">
        <v>17</v>
      </c>
      <c r="D103" s="2" t="s">
        <v>430</v>
      </c>
      <c r="E103" s="6">
        <v>1930</v>
      </c>
      <c r="F103" s="18">
        <v>400</v>
      </c>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49561</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21947+1</f>
        <v>21948</v>
      </c>
      <c r="G110" s="18">
        <f>418-1</f>
        <v>417</v>
      </c>
      <c r="H110" s="18">
        <f>80+6000+1</f>
        <v>6081</v>
      </c>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157764</v>
      </c>
      <c r="G111" s="41">
        <f>SUM(G96:G110)</f>
        <v>2788</v>
      </c>
      <c r="H111" s="41">
        <f>SUM(H96:H110)</f>
        <v>19625</v>
      </c>
      <c r="I111" s="41">
        <f>SUM(I96:I110)</f>
        <v>12588</v>
      </c>
      <c r="J111" s="41">
        <f>SUM(J96:J110)</f>
        <v>593750</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7324076</v>
      </c>
      <c r="G112" s="41">
        <f>G60+G111</f>
        <v>2788</v>
      </c>
      <c r="H112" s="41">
        <f>H60+H79+H94+H111</f>
        <v>19625</v>
      </c>
      <c r="I112" s="41">
        <f>I60+I111</f>
        <v>12588</v>
      </c>
      <c r="J112" s="41">
        <f>J60+J111</f>
        <v>593750</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4855560</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643608</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5499168</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141091</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57274</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89227</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7559</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4163</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295151</v>
      </c>
      <c r="G136" s="41">
        <f>SUM(G123:G135)</f>
        <v>4163</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5794319</v>
      </c>
      <c r="G140" s="41">
        <f>G121+SUM(G136:G137)</f>
        <v>4163</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265229</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36898+91460+3984</f>
        <v>132342</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557+10742+45566+97208+1717+22981</f>
        <v>178771</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232647+5577</f>
        <v>238224</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64637</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113200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123841</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64637</v>
      </c>
      <c r="G163" s="41">
        <f>SUM(G150:G162)</f>
        <v>178771</v>
      </c>
      <c r="H163" s="41">
        <f>SUM(H150:H162)</f>
        <v>872836</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1305</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65942</v>
      </c>
      <c r="G170" s="41">
        <f>G147+G163+SUM(G164:G169)</f>
        <v>178771</v>
      </c>
      <c r="H170" s="41">
        <f>H147+H163+SUM(H164:H169)</f>
        <v>872836</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24225</v>
      </c>
      <c r="H180" s="18"/>
      <c r="I180" s="18"/>
      <c r="J180" s="18">
        <v>120000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24225</v>
      </c>
      <c r="H184" s="41">
        <f>SUM(H180:H183)</f>
        <v>0</v>
      </c>
      <c r="I184" s="41">
        <f>SUM(I180:I183)</f>
        <v>0</v>
      </c>
      <c r="J184" s="41">
        <f>SUM(J180:J183)</f>
        <v>120000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24225</v>
      </c>
      <c r="H193" s="41">
        <f>+H184+SUM(H189:H192)</f>
        <v>0</v>
      </c>
      <c r="I193" s="41">
        <f>I178+I184+SUM(I189:I192)</f>
        <v>0</v>
      </c>
      <c r="J193" s="41">
        <f>J184</f>
        <v>120000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13184337</v>
      </c>
      <c r="G194" s="47">
        <f>G112+G140+G170+G193</f>
        <v>209947</v>
      </c>
      <c r="H194" s="47">
        <f>H112+H140+H170+H193</f>
        <v>892461</v>
      </c>
      <c r="I194" s="47">
        <f>I112+I140+I170+I193</f>
        <v>12588</v>
      </c>
      <c r="J194" s="47">
        <f>J112+J140+J193</f>
        <v>713750</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749893-2</f>
        <v>749891</v>
      </c>
      <c r="G198" s="18">
        <v>392731</v>
      </c>
      <c r="H198" s="18">
        <f>67901+57+1</f>
        <v>67959</v>
      </c>
      <c r="I198" s="18">
        <f>87376</f>
        <v>87376</v>
      </c>
      <c r="J198" s="18">
        <v>1124</v>
      </c>
      <c r="K198" s="18"/>
      <c r="L198" s="19">
        <f>SUM(F198:K198)</f>
        <v>1299081</v>
      </c>
      <c r="M198" s="8"/>
      <c r="N198" s="264"/>
    </row>
    <row r="199" spans="1:14" s="3" customFormat="1" ht="12.2" customHeight="1" x14ac:dyDescent="0.15">
      <c r="A199" s="1" t="s">
        <v>439</v>
      </c>
      <c r="B199" s="2" t="s">
        <v>341</v>
      </c>
      <c r="C199" s="2" t="s">
        <v>291</v>
      </c>
      <c r="D199" s="2" t="s">
        <v>431</v>
      </c>
      <c r="E199" s="6">
        <v>1200</v>
      </c>
      <c r="F199" s="18">
        <v>423682</v>
      </c>
      <c r="G199" s="18">
        <v>204224</v>
      </c>
      <c r="H199" s="18">
        <f>7925</f>
        <v>7925</v>
      </c>
      <c r="I199" s="18">
        <v>14413</v>
      </c>
      <c r="J199" s="18">
        <v>803</v>
      </c>
      <c r="K199" s="18"/>
      <c r="L199" s="19">
        <f>SUM(F199:K199)</f>
        <v>651047</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11968</v>
      </c>
      <c r="G201" s="18">
        <v>3046</v>
      </c>
      <c r="H201" s="18"/>
      <c r="I201" s="18"/>
      <c r="J201" s="18"/>
      <c r="K201" s="18"/>
      <c r="L201" s="19">
        <f>SUM(F201:K201)</f>
        <v>15014</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115874</v>
      </c>
      <c r="G203" s="18">
        <v>70944</v>
      </c>
      <c r="H203" s="18">
        <f>203267+3030</f>
        <v>206297</v>
      </c>
      <c r="I203" s="18">
        <v>4606</v>
      </c>
      <c r="J203" s="18"/>
      <c r="K203" s="18"/>
      <c r="L203" s="19">
        <f t="shared" ref="L203:L209" si="0">SUM(F203:K203)</f>
        <v>397721</v>
      </c>
      <c r="M203" s="8"/>
      <c r="N203" s="264"/>
    </row>
    <row r="204" spans="1:14" s="3" customFormat="1" ht="12.2" customHeight="1" x14ac:dyDescent="0.15">
      <c r="A204" s="1" t="s">
        <v>443</v>
      </c>
      <c r="B204" s="2" t="s">
        <v>341</v>
      </c>
      <c r="C204" s="2" t="s">
        <v>295</v>
      </c>
      <c r="D204" s="2" t="s">
        <v>431</v>
      </c>
      <c r="E204" s="6">
        <v>2200</v>
      </c>
      <c r="F204" s="18">
        <v>24667</v>
      </c>
      <c r="G204" s="18">
        <v>22660</v>
      </c>
      <c r="H204" s="18">
        <v>7775</v>
      </c>
      <c r="I204" s="18">
        <v>2237</v>
      </c>
      <c r="J204" s="18">
        <v>49060</v>
      </c>
      <c r="K204" s="18"/>
      <c r="L204" s="19">
        <f t="shared" si="0"/>
        <v>106399</v>
      </c>
      <c r="M204" s="8"/>
      <c r="N204" s="264"/>
    </row>
    <row r="205" spans="1:14" s="3" customFormat="1" ht="12.2" customHeight="1" x14ac:dyDescent="0.15">
      <c r="A205" s="1" t="s">
        <v>444</v>
      </c>
      <c r="B205" s="2" t="s">
        <v>341</v>
      </c>
      <c r="C205" s="2" t="s">
        <v>296</v>
      </c>
      <c r="D205" s="2" t="s">
        <v>431</v>
      </c>
      <c r="E205" s="6">
        <v>2300</v>
      </c>
      <c r="F205" s="18">
        <v>3207</v>
      </c>
      <c r="G205" s="18">
        <v>251</v>
      </c>
      <c r="H205" s="18">
        <f>274591+8970</f>
        <v>283561</v>
      </c>
      <c r="I205" s="18">
        <v>1104</v>
      </c>
      <c r="J205" s="18"/>
      <c r="K205" s="18">
        <v>2401</v>
      </c>
      <c r="L205" s="19">
        <f t="shared" si="0"/>
        <v>290524</v>
      </c>
      <c r="M205" s="8"/>
      <c r="N205" s="264"/>
    </row>
    <row r="206" spans="1:14" s="3" customFormat="1" ht="12.2" customHeight="1" x14ac:dyDescent="0.15">
      <c r="A206" s="1" t="s">
        <v>445</v>
      </c>
      <c r="B206" s="2" t="s">
        <v>341</v>
      </c>
      <c r="C206" s="2" t="s">
        <v>297</v>
      </c>
      <c r="D206" s="2" t="s">
        <v>431</v>
      </c>
      <c r="E206" s="6">
        <v>2400</v>
      </c>
      <c r="F206" s="18">
        <v>121456</v>
      </c>
      <c r="G206" s="18">
        <v>39095</v>
      </c>
      <c r="H206" s="18">
        <f>120+7055</f>
        <v>7175</v>
      </c>
      <c r="I206" s="18">
        <v>1754</v>
      </c>
      <c r="J206" s="18">
        <v>150</v>
      </c>
      <c r="K206" s="18">
        <v>40</v>
      </c>
      <c r="L206" s="19">
        <f t="shared" si="0"/>
        <v>169670</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v>67058</v>
      </c>
      <c r="G208" s="18">
        <v>29549</v>
      </c>
      <c r="H208" s="18">
        <f>57515+84159+3945</f>
        <v>145619</v>
      </c>
      <c r="I208" s="18">
        <v>85586</v>
      </c>
      <c r="J208" s="18">
        <v>498</v>
      </c>
      <c r="K208" s="18">
        <v>100</v>
      </c>
      <c r="L208" s="19">
        <f t="shared" si="0"/>
        <v>328410</v>
      </c>
      <c r="M208" s="8"/>
      <c r="N208" s="264"/>
    </row>
    <row r="209" spans="1:14" s="3" customFormat="1" ht="12.2" customHeight="1" x14ac:dyDescent="0.15">
      <c r="A209" s="1" t="s">
        <v>448</v>
      </c>
      <c r="B209" s="2" t="s">
        <v>341</v>
      </c>
      <c r="C209" s="2" t="s">
        <v>300</v>
      </c>
      <c r="D209" s="2" t="s">
        <v>431</v>
      </c>
      <c r="E209" s="6">
        <v>2700</v>
      </c>
      <c r="F209" s="18">
        <v>9290</v>
      </c>
      <c r="G209" s="18">
        <v>4897</v>
      </c>
      <c r="H209" s="18">
        <f>2125+899+132701</f>
        <v>135725</v>
      </c>
      <c r="I209" s="18">
        <v>1215</v>
      </c>
      <c r="J209" s="18"/>
      <c r="K209" s="18">
        <v>23</v>
      </c>
      <c r="L209" s="19">
        <f t="shared" si="0"/>
        <v>151150</v>
      </c>
      <c r="M209" s="8"/>
      <c r="N209" s="264"/>
    </row>
    <row r="210" spans="1:14" s="3" customFormat="1" ht="12.2" customHeight="1" x14ac:dyDescent="0.15">
      <c r="A210" s="1" t="s">
        <v>449</v>
      </c>
      <c r="B210" s="2" t="s">
        <v>341</v>
      </c>
      <c r="C210" s="2" t="s">
        <v>343</v>
      </c>
      <c r="D210" s="2" t="s">
        <v>431</v>
      </c>
      <c r="E210" s="6">
        <v>2800</v>
      </c>
      <c r="F210" s="18"/>
      <c r="G210" s="18"/>
      <c r="H210" s="18">
        <v>12015</v>
      </c>
      <c r="I210" s="18"/>
      <c r="J210" s="18">
        <v>3424</v>
      </c>
      <c r="K210" s="18"/>
      <c r="L210" s="19">
        <f>SUM(F210:K210)</f>
        <v>15439</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1527093</v>
      </c>
      <c r="G212" s="41">
        <f t="shared" si="1"/>
        <v>767397</v>
      </c>
      <c r="H212" s="41">
        <f t="shared" si="1"/>
        <v>874051</v>
      </c>
      <c r="I212" s="41">
        <f t="shared" si="1"/>
        <v>198291</v>
      </c>
      <c r="J212" s="41">
        <f t="shared" si="1"/>
        <v>55059</v>
      </c>
      <c r="K212" s="41">
        <f t="shared" si="1"/>
        <v>2564</v>
      </c>
      <c r="L212" s="41">
        <f t="shared" si="1"/>
        <v>3424455</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1096832</v>
      </c>
      <c r="G216" s="18">
        <v>578681</v>
      </c>
      <c r="H216" s="18">
        <f>135+279</f>
        <v>414</v>
      </c>
      <c r="I216" s="18">
        <v>57433</v>
      </c>
      <c r="J216" s="18">
        <v>836</v>
      </c>
      <c r="K216" s="18"/>
      <c r="L216" s="19">
        <f>SUM(F216:K216)</f>
        <v>1734196</v>
      </c>
      <c r="M216" s="8"/>
      <c r="N216" s="264"/>
    </row>
    <row r="217" spans="1:14" s="3" customFormat="1" ht="12.2" customHeight="1" x14ac:dyDescent="0.15">
      <c r="A217" s="1" t="s">
        <v>439</v>
      </c>
      <c r="B217" s="2" t="s">
        <v>346</v>
      </c>
      <c r="C217" s="2" t="s">
        <v>291</v>
      </c>
      <c r="D217" s="2" t="s">
        <v>431</v>
      </c>
      <c r="E217" s="6">
        <v>1200</v>
      </c>
      <c r="F217" s="18">
        <v>393475</v>
      </c>
      <c r="G217" s="18">
        <v>190784</v>
      </c>
      <c r="H217" s="18">
        <f>54207+161742</f>
        <v>215949</v>
      </c>
      <c r="I217" s="18">
        <v>3764</v>
      </c>
      <c r="J217" s="18">
        <v>25</v>
      </c>
      <c r="K217" s="18"/>
      <c r="L217" s="19">
        <f>SUM(F217:K217)</f>
        <v>803997</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83552</v>
      </c>
      <c r="G219" s="18">
        <v>19719</v>
      </c>
      <c r="H219" s="18">
        <f>2969+1340+1877</f>
        <v>6186</v>
      </c>
      <c r="I219" s="18">
        <v>13518</v>
      </c>
      <c r="J219" s="18"/>
      <c r="K219" s="18"/>
      <c r="L219" s="19">
        <f>SUM(F219:K219)</f>
        <v>122975</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138848</v>
      </c>
      <c r="G221" s="18">
        <v>55006</v>
      </c>
      <c r="H221" s="18">
        <f>107026+3923</f>
        <v>110949</v>
      </c>
      <c r="I221" s="18">
        <v>6712</v>
      </c>
      <c r="J221" s="18"/>
      <c r="K221" s="18"/>
      <c r="L221" s="19">
        <f t="shared" ref="L221:L227" si="2">SUM(F221:K221)</f>
        <v>311515</v>
      </c>
      <c r="M221" s="8"/>
      <c r="N221" s="264"/>
    </row>
    <row r="222" spans="1:14" s="3" customFormat="1" ht="12.2" customHeight="1" x14ac:dyDescent="0.15">
      <c r="A222" s="1" t="s">
        <v>443</v>
      </c>
      <c r="B222" s="2" t="s">
        <v>346</v>
      </c>
      <c r="C222" s="2" t="s">
        <v>295</v>
      </c>
      <c r="D222" s="2" t="s">
        <v>431</v>
      </c>
      <c r="E222" s="6">
        <v>2200</v>
      </c>
      <c r="F222" s="18">
        <f>72754+72175</f>
        <v>144929</v>
      </c>
      <c r="G222" s="18">
        <f>58615+38737</f>
        <v>97352</v>
      </c>
      <c r="H222" s="18">
        <f>10337</f>
        <v>10337</v>
      </c>
      <c r="I222" s="18">
        <f>3427+541</f>
        <v>3968</v>
      </c>
      <c r="J222" s="18">
        <v>33919</v>
      </c>
      <c r="K222" s="18"/>
      <c r="L222" s="19">
        <f t="shared" si="2"/>
        <v>290505</v>
      </c>
      <c r="M222" s="8"/>
      <c r="N222" s="264"/>
    </row>
    <row r="223" spans="1:14" s="3" customFormat="1" ht="12.2" customHeight="1" x14ac:dyDescent="0.15">
      <c r="A223" s="1" t="s">
        <v>444</v>
      </c>
      <c r="B223" s="2" t="s">
        <v>346</v>
      </c>
      <c r="C223" s="2" t="s">
        <v>296</v>
      </c>
      <c r="D223" s="2" t="s">
        <v>431</v>
      </c>
      <c r="E223" s="6">
        <v>2300</v>
      </c>
      <c r="F223" s="18">
        <v>3510</v>
      </c>
      <c r="G223" s="18">
        <v>274</v>
      </c>
      <c r="H223" s="18">
        <f>323909+10496</f>
        <v>334405</v>
      </c>
      <c r="I223" s="18">
        <v>1021</v>
      </c>
      <c r="J223" s="18"/>
      <c r="K223" s="18">
        <v>2831</v>
      </c>
      <c r="L223" s="19">
        <f t="shared" si="2"/>
        <v>342041</v>
      </c>
      <c r="M223" s="8"/>
      <c r="N223" s="264"/>
    </row>
    <row r="224" spans="1:14" s="3" customFormat="1" ht="12.2" customHeight="1" x14ac:dyDescent="0.15">
      <c r="A224" s="1" t="s">
        <v>445</v>
      </c>
      <c r="B224" s="2" t="s">
        <v>346</v>
      </c>
      <c r="C224" s="2" t="s">
        <v>297</v>
      </c>
      <c r="D224" s="2" t="s">
        <v>431</v>
      </c>
      <c r="E224" s="6">
        <v>2400</v>
      </c>
      <c r="F224" s="18">
        <v>229061</v>
      </c>
      <c r="G224" s="18">
        <v>122602</v>
      </c>
      <c r="H224" s="18">
        <f>270+7690</f>
        <v>7960</v>
      </c>
      <c r="I224" s="18">
        <v>1756</v>
      </c>
      <c r="J224" s="18">
        <v>97</v>
      </c>
      <c r="K224" s="18">
        <v>1066</v>
      </c>
      <c r="L224" s="19">
        <f t="shared" si="2"/>
        <v>362542</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v>91629</v>
      </c>
      <c r="G226" s="18">
        <v>26944</v>
      </c>
      <c r="H226" s="18">
        <f>42346+91237+4663</f>
        <v>138246</v>
      </c>
      <c r="I226" s="18">
        <v>101660</v>
      </c>
      <c r="J226" s="18">
        <v>37692</v>
      </c>
      <c r="K226" s="18">
        <v>300</v>
      </c>
      <c r="L226" s="19">
        <f t="shared" si="2"/>
        <v>396471</v>
      </c>
      <c r="M226" s="8"/>
      <c r="N226" s="264"/>
    </row>
    <row r="227" spans="1:14" s="3" customFormat="1" ht="12.2" customHeight="1" x14ac:dyDescent="0.15">
      <c r="A227" s="1" t="s">
        <v>448</v>
      </c>
      <c r="B227" s="2" t="s">
        <v>346</v>
      </c>
      <c r="C227" s="2" t="s">
        <v>300</v>
      </c>
      <c r="D227" s="2" t="s">
        <v>431</v>
      </c>
      <c r="E227" s="6">
        <v>2700</v>
      </c>
      <c r="F227" s="18">
        <v>10976</v>
      </c>
      <c r="G227" s="18">
        <v>5787</v>
      </c>
      <c r="H227" s="18">
        <f>1031+170556</f>
        <v>171587</v>
      </c>
      <c r="I227" s="18">
        <v>1433</v>
      </c>
      <c r="J227" s="18"/>
      <c r="K227" s="18">
        <v>27</v>
      </c>
      <c r="L227" s="19">
        <f t="shared" si="2"/>
        <v>189810</v>
      </c>
      <c r="M227" s="8"/>
      <c r="N227" s="264"/>
    </row>
    <row r="228" spans="1:14" s="3" customFormat="1" ht="12.2" customHeight="1" x14ac:dyDescent="0.15">
      <c r="A228" s="1" t="s">
        <v>449</v>
      </c>
      <c r="B228" s="2" t="s">
        <v>346</v>
      </c>
      <c r="C228" s="2" t="s">
        <v>343</v>
      </c>
      <c r="D228" s="2" t="s">
        <v>431</v>
      </c>
      <c r="E228" s="6">
        <v>2800</v>
      </c>
      <c r="F228" s="18"/>
      <c r="G228" s="18"/>
      <c r="H228" s="18">
        <v>15861</v>
      </c>
      <c r="I228" s="18">
        <v>100</v>
      </c>
      <c r="J228" s="18">
        <v>7400</v>
      </c>
      <c r="K228" s="18"/>
      <c r="L228" s="19">
        <f>SUM(F228:K228)</f>
        <v>23361</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2192812</v>
      </c>
      <c r="G230" s="41">
        <f>SUM(G216:G229)</f>
        <v>1097149</v>
      </c>
      <c r="H230" s="41">
        <f>SUM(H216:H229)</f>
        <v>1011894</v>
      </c>
      <c r="I230" s="41">
        <f>SUM(I216:I229)</f>
        <v>191365</v>
      </c>
      <c r="J230" s="41">
        <f>SUM(J216:J229)</f>
        <v>79969</v>
      </c>
      <c r="K230" s="41">
        <f t="shared" si="3"/>
        <v>4224</v>
      </c>
      <c r="L230" s="41">
        <f t="shared" si="3"/>
        <v>4577413</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1063013</v>
      </c>
      <c r="G234" s="18">
        <v>560800</v>
      </c>
      <c r="H234" s="18">
        <f>490</f>
        <v>490</v>
      </c>
      <c r="I234" s="18">
        <v>52282</v>
      </c>
      <c r="J234" s="18">
        <v>12831</v>
      </c>
      <c r="K234" s="18">
        <v>4964</v>
      </c>
      <c r="L234" s="19">
        <f>SUM(F234:K234)</f>
        <v>1694380</v>
      </c>
      <c r="M234" s="8"/>
      <c r="N234" s="264"/>
    </row>
    <row r="235" spans="1:14" s="3" customFormat="1" ht="12.2" customHeight="1" x14ac:dyDescent="0.15">
      <c r="A235" s="1" t="s">
        <v>439</v>
      </c>
      <c r="B235" s="2" t="s">
        <v>350</v>
      </c>
      <c r="C235" s="2" t="s">
        <v>291</v>
      </c>
      <c r="D235" s="2" t="s">
        <v>431</v>
      </c>
      <c r="E235" s="6">
        <v>1200</v>
      </c>
      <c r="F235" s="18">
        <v>392807</v>
      </c>
      <c r="G235" s="18">
        <v>230989</v>
      </c>
      <c r="H235" s="18">
        <f>29900+315150</f>
        <v>345050</v>
      </c>
      <c r="I235" s="18">
        <v>2498</v>
      </c>
      <c r="J235" s="18"/>
      <c r="K235" s="18"/>
      <c r="L235" s="19">
        <f>SUM(F235:K235)</f>
        <v>971344</v>
      </c>
      <c r="M235" s="8"/>
      <c r="N235" s="264"/>
    </row>
    <row r="236" spans="1:14" s="3" customFormat="1" ht="12.2" customHeight="1" x14ac:dyDescent="0.15">
      <c r="A236" s="1" t="s">
        <v>440</v>
      </c>
      <c r="B236" s="2" t="s">
        <v>350</v>
      </c>
      <c r="C236" s="2" t="s">
        <v>292</v>
      </c>
      <c r="D236" s="2" t="s">
        <v>431</v>
      </c>
      <c r="E236" s="6">
        <v>1300</v>
      </c>
      <c r="F236" s="18"/>
      <c r="G236" s="18"/>
      <c r="H236" s="18">
        <v>323475</v>
      </c>
      <c r="I236" s="18"/>
      <c r="J236" s="18"/>
      <c r="K236" s="18"/>
      <c r="L236" s="19">
        <f>SUM(F236:K236)</f>
        <v>323475</v>
      </c>
      <c r="M236" s="8"/>
      <c r="N236" s="264"/>
    </row>
    <row r="237" spans="1:14" s="3" customFormat="1" ht="12.2" customHeight="1" x14ac:dyDescent="0.15">
      <c r="A237" s="1" t="s">
        <v>441</v>
      </c>
      <c r="B237" s="2" t="s">
        <v>350</v>
      </c>
      <c r="C237" s="2" t="s">
        <v>293</v>
      </c>
      <c r="D237" s="2" t="s">
        <v>431</v>
      </c>
      <c r="E237" s="6">
        <v>1400</v>
      </c>
      <c r="F237" s="18">
        <v>77822</v>
      </c>
      <c r="G237" s="18">
        <v>13383</v>
      </c>
      <c r="H237" s="18">
        <f>13217+3273+3440</f>
        <v>19930</v>
      </c>
      <c r="I237" s="18">
        <v>8173</v>
      </c>
      <c r="J237" s="18">
        <v>230</v>
      </c>
      <c r="K237" s="18">
        <v>6271</v>
      </c>
      <c r="L237" s="19">
        <f>SUM(F237:K237)</f>
        <v>125809</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f>144896+1</f>
        <v>144897</v>
      </c>
      <c r="G239" s="18">
        <v>66816</v>
      </c>
      <c r="H239" s="18">
        <f>27447+3379</f>
        <v>30826</v>
      </c>
      <c r="I239" s="18">
        <v>7088</v>
      </c>
      <c r="J239" s="18">
        <v>1466</v>
      </c>
      <c r="K239" s="18"/>
      <c r="L239" s="19">
        <f t="shared" ref="L239:L245" si="4">SUM(F239:K239)</f>
        <v>251093</v>
      </c>
      <c r="M239" s="8"/>
      <c r="N239" s="264"/>
    </row>
    <row r="240" spans="1:14" s="3" customFormat="1" ht="12.2" customHeight="1" x14ac:dyDescent="0.15">
      <c r="A240" s="1" t="s">
        <v>443</v>
      </c>
      <c r="B240" s="2" t="s">
        <v>350</v>
      </c>
      <c r="C240" s="2" t="s">
        <v>295</v>
      </c>
      <c r="D240" s="2" t="s">
        <v>431</v>
      </c>
      <c r="E240" s="6">
        <v>2200</v>
      </c>
      <c r="F240" s="18">
        <f>67951+1</f>
        <v>67952</v>
      </c>
      <c r="G240" s="18">
        <v>46676</v>
      </c>
      <c r="H240" s="18">
        <f>5685</f>
        <v>5685</v>
      </c>
      <c r="I240" s="18">
        <v>4667</v>
      </c>
      <c r="J240" s="18">
        <v>53266</v>
      </c>
      <c r="K240" s="18"/>
      <c r="L240" s="19">
        <f t="shared" si="4"/>
        <v>178246</v>
      </c>
      <c r="M240" s="8"/>
      <c r="N240" s="264"/>
    </row>
    <row r="241" spans="1:14" s="3" customFormat="1" ht="12.2" customHeight="1" x14ac:dyDescent="0.15">
      <c r="A241" s="1" t="s">
        <v>444</v>
      </c>
      <c r="B241" s="2" t="s">
        <v>350</v>
      </c>
      <c r="C241" s="2" t="s">
        <v>296</v>
      </c>
      <c r="D241" s="2" t="s">
        <v>431</v>
      </c>
      <c r="E241" s="6">
        <v>2300</v>
      </c>
      <c r="F241" s="18">
        <f>2583+1</f>
        <v>2584</v>
      </c>
      <c r="G241" s="18">
        <v>202</v>
      </c>
      <c r="H241" s="18">
        <f>232785+7576</f>
        <v>240361</v>
      </c>
      <c r="I241" s="18">
        <v>921</v>
      </c>
      <c r="J241" s="18"/>
      <c r="K241" s="18">
        <v>1932</v>
      </c>
      <c r="L241" s="19">
        <f t="shared" si="4"/>
        <v>246000</v>
      </c>
      <c r="M241" s="8"/>
      <c r="N241" s="264"/>
    </row>
    <row r="242" spans="1:14" s="3" customFormat="1" ht="12.2" customHeight="1" x14ac:dyDescent="0.15">
      <c r="A242" s="1" t="s">
        <v>445</v>
      </c>
      <c r="B242" s="2" t="s">
        <v>350</v>
      </c>
      <c r="C242" s="2" t="s">
        <v>297</v>
      </c>
      <c r="D242" s="2" t="s">
        <v>431</v>
      </c>
      <c r="E242" s="6">
        <v>2400</v>
      </c>
      <c r="F242" s="18">
        <f>246141+1</f>
        <v>246142</v>
      </c>
      <c r="G242" s="18">
        <v>130420</v>
      </c>
      <c r="H242" s="18">
        <f>400+600+10072</f>
        <v>11072</v>
      </c>
      <c r="I242" s="18">
        <v>4150</v>
      </c>
      <c r="J242" s="18">
        <v>772</v>
      </c>
      <c r="K242" s="18">
        <v>4190</v>
      </c>
      <c r="L242" s="19">
        <f t="shared" si="4"/>
        <v>396746</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f>91316+1</f>
        <v>91317</v>
      </c>
      <c r="G244" s="18">
        <v>30137</v>
      </c>
      <c r="H244" s="18">
        <f>21382+160460+3738</f>
        <v>185580</v>
      </c>
      <c r="I244" s="18">
        <v>132700</v>
      </c>
      <c r="J244" s="18">
        <v>8</v>
      </c>
      <c r="K244" s="18">
        <v>550</v>
      </c>
      <c r="L244" s="19">
        <f t="shared" si="4"/>
        <v>440292</v>
      </c>
      <c r="M244" s="8"/>
      <c r="N244" s="264"/>
    </row>
    <row r="245" spans="1:14" s="3" customFormat="1" ht="12.2" customHeight="1" x14ac:dyDescent="0.15">
      <c r="A245" s="1" t="s">
        <v>448</v>
      </c>
      <c r="B245" s="2" t="s">
        <v>350</v>
      </c>
      <c r="C245" s="2" t="s">
        <v>300</v>
      </c>
      <c r="D245" s="2" t="s">
        <v>431</v>
      </c>
      <c r="E245" s="6">
        <v>2700</v>
      </c>
      <c r="F245" s="18">
        <v>7881</v>
      </c>
      <c r="G245" s="18">
        <v>4155</v>
      </c>
      <c r="H245" s="18">
        <f>780+147653</f>
        <v>148433</v>
      </c>
      <c r="I245" s="18">
        <v>1035</v>
      </c>
      <c r="J245" s="18"/>
      <c r="K245" s="18">
        <v>20</v>
      </c>
      <c r="L245" s="19">
        <f t="shared" si="4"/>
        <v>161524</v>
      </c>
      <c r="M245" s="8"/>
      <c r="N245" s="264"/>
    </row>
    <row r="246" spans="1:14" s="3" customFormat="1" ht="12.2" customHeight="1" x14ac:dyDescent="0.15">
      <c r="A246" s="1" t="s">
        <v>449</v>
      </c>
      <c r="B246" s="2" t="s">
        <v>350</v>
      </c>
      <c r="C246" s="2" t="s">
        <v>343</v>
      </c>
      <c r="D246" s="2" t="s">
        <v>431</v>
      </c>
      <c r="E246" s="6">
        <v>2800</v>
      </c>
      <c r="F246" s="18"/>
      <c r="G246" s="18"/>
      <c r="H246" s="18">
        <v>19621</v>
      </c>
      <c r="I246" s="18"/>
      <c r="J246" s="18">
        <v>2505</v>
      </c>
      <c r="K246" s="18"/>
      <c r="L246" s="19">
        <f>SUM(F246:K246)</f>
        <v>22126</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2094415</v>
      </c>
      <c r="G248" s="41">
        <f t="shared" si="5"/>
        <v>1083578</v>
      </c>
      <c r="H248" s="41">
        <f t="shared" si="5"/>
        <v>1330523</v>
      </c>
      <c r="I248" s="41">
        <f t="shared" si="5"/>
        <v>213514</v>
      </c>
      <c r="J248" s="41">
        <f t="shared" si="5"/>
        <v>71078</v>
      </c>
      <c r="K248" s="41">
        <f t="shared" si="5"/>
        <v>17927</v>
      </c>
      <c r="L248" s="41">
        <f t="shared" si="5"/>
        <v>4811035</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v>8183</v>
      </c>
      <c r="G254" s="18">
        <v>662</v>
      </c>
      <c r="H254" s="18"/>
      <c r="I254" s="18">
        <v>425</v>
      </c>
      <c r="J254" s="18"/>
      <c r="K254" s="18"/>
      <c r="L254" s="19">
        <f t="shared" si="6"/>
        <v>9270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8183</v>
      </c>
      <c r="G257" s="41">
        <f t="shared" si="7"/>
        <v>662</v>
      </c>
      <c r="H257" s="41">
        <f t="shared" si="7"/>
        <v>0</v>
      </c>
      <c r="I257" s="41">
        <f t="shared" si="7"/>
        <v>425</v>
      </c>
      <c r="J257" s="41">
        <f t="shared" si="7"/>
        <v>0</v>
      </c>
      <c r="K257" s="41">
        <f t="shared" si="7"/>
        <v>0</v>
      </c>
      <c r="L257" s="41">
        <f>SUM(F257:K257)</f>
        <v>9270</v>
      </c>
      <c r="M257" s="8"/>
      <c r="N257" s="264"/>
    </row>
    <row r="258" spans="1:14" s="3" customFormat="1" ht="12.2" customHeight="1" thickTop="1" x14ac:dyDescent="0.15">
      <c r="A258" s="38" t="s">
        <v>462</v>
      </c>
      <c r="B258" s="40">
        <v>10</v>
      </c>
      <c r="C258" s="40">
        <v>8</v>
      </c>
      <c r="D258" s="39" t="s">
        <v>431</v>
      </c>
      <c r="E258" s="40"/>
      <c r="F258" s="41">
        <f t="shared" ref="F258:L258" si="8">F212+F230+F248+F257</f>
        <v>5822503</v>
      </c>
      <c r="G258" s="41">
        <f t="shared" si="8"/>
        <v>2948786</v>
      </c>
      <c r="H258" s="41">
        <f t="shared" si="8"/>
        <v>3216468</v>
      </c>
      <c r="I258" s="41">
        <f t="shared" si="8"/>
        <v>603595</v>
      </c>
      <c r="J258" s="41">
        <f t="shared" si="8"/>
        <v>206106</v>
      </c>
      <c r="K258" s="41">
        <f t="shared" si="8"/>
        <v>24715</v>
      </c>
      <c r="L258" s="41">
        <f t="shared" si="8"/>
        <v>12822173</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349333</v>
      </c>
      <c r="L261" s="19">
        <f>SUM(F261:K261)</f>
        <v>349333</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140414</v>
      </c>
      <c r="L262" s="19">
        <f>SUM(F262:K262)</f>
        <v>140414</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24225</v>
      </c>
      <c r="L264" s="19">
        <f>SUM(F264:K264)</f>
        <v>24225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120000</v>
      </c>
      <c r="L267" s="19">
        <f t="shared" si="9"/>
        <v>120000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12230</v>
      </c>
      <c r="L269" s="19">
        <f t="shared" si="9"/>
        <v>12230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646202</v>
      </c>
      <c r="L271" s="41">
        <f t="shared" si="9"/>
        <v>646202</v>
      </c>
      <c r="M271" s="8"/>
      <c r="N271" s="264"/>
    </row>
    <row r="272" spans="1:14" s="34" customFormat="1" ht="12.2" customHeight="1" thickTop="1" x14ac:dyDescent="0.2">
      <c r="A272" s="43" t="s">
        <v>464</v>
      </c>
      <c r="B272" s="40">
        <v>10</v>
      </c>
      <c r="C272" s="40">
        <v>18</v>
      </c>
      <c r="D272" s="39" t="s">
        <v>431</v>
      </c>
      <c r="E272" s="40"/>
      <c r="F272" s="42">
        <f t="shared" ref="F272:L272" si="11">F258+F271</f>
        <v>5822503</v>
      </c>
      <c r="G272" s="42">
        <f t="shared" si="11"/>
        <v>2948786</v>
      </c>
      <c r="H272" s="42">
        <f t="shared" si="11"/>
        <v>3216468</v>
      </c>
      <c r="I272" s="42">
        <f t="shared" si="11"/>
        <v>603595</v>
      </c>
      <c r="J272" s="42">
        <f t="shared" si="11"/>
        <v>206106</v>
      </c>
      <c r="K272" s="42">
        <f t="shared" si="11"/>
        <v>670917</v>
      </c>
      <c r="L272" s="42">
        <f t="shared" si="11"/>
        <v>13468375</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128601+1</f>
        <v>128602</v>
      </c>
      <c r="G277" s="18">
        <v>77060</v>
      </c>
      <c r="H277" s="18"/>
      <c r="I277" s="18">
        <v>11971</v>
      </c>
      <c r="J277" s="18"/>
      <c r="K277" s="18"/>
      <c r="L277" s="19">
        <f>SUM(F277:K277)</f>
        <v>217633</v>
      </c>
      <c r="M277" s="8"/>
      <c r="N277" s="264"/>
    </row>
    <row r="278" spans="1:14" s="3" customFormat="1" ht="12.2" customHeight="1" x14ac:dyDescent="0.15">
      <c r="A278" s="1" t="s">
        <v>439</v>
      </c>
      <c r="B278" s="2" t="s">
        <v>357</v>
      </c>
      <c r="C278" s="2" t="s">
        <v>291</v>
      </c>
      <c r="D278" s="2" t="s">
        <v>431</v>
      </c>
      <c r="E278" s="6">
        <v>1200</v>
      </c>
      <c r="F278" s="18">
        <v>35617</v>
      </c>
      <c r="G278" s="18">
        <v>20547</v>
      </c>
      <c r="H278" s="18"/>
      <c r="I278" s="18">
        <v>21221</v>
      </c>
      <c r="J278" s="18"/>
      <c r="K278" s="18"/>
      <c r="L278" s="19">
        <f>SUM(F278:K278)</f>
        <v>77385</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84687+1599+3538</f>
        <v>89824</v>
      </c>
      <c r="G282" s="18">
        <f>2039+926+51575</f>
        <v>54540</v>
      </c>
      <c r="H282" s="18">
        <f>2165</f>
        <v>2165</v>
      </c>
      <c r="I282" s="18">
        <f>11058+1263+2439</f>
        <v>14760</v>
      </c>
      <c r="J282" s="18"/>
      <c r="K282" s="18"/>
      <c r="L282" s="19">
        <f t="shared" ref="L282:L288" si="12">SUM(F282:K282)</f>
        <v>161289</v>
      </c>
      <c r="M282" s="8"/>
      <c r="N282" s="264"/>
    </row>
    <row r="283" spans="1:14" s="3" customFormat="1" ht="12.2" customHeight="1" x14ac:dyDescent="0.15">
      <c r="A283" s="1" t="s">
        <v>443</v>
      </c>
      <c r="B283" s="2" t="s">
        <v>357</v>
      </c>
      <c r="C283" s="2" t="s">
        <v>295</v>
      </c>
      <c r="D283" s="2" t="s">
        <v>431</v>
      </c>
      <c r="E283" s="6">
        <v>2200</v>
      </c>
      <c r="F283" s="18">
        <v>625</v>
      </c>
      <c r="G283" s="18"/>
      <c r="H283" s="18">
        <f>7100+7251</f>
        <v>14351</v>
      </c>
      <c r="I283" s="18">
        <f>7315+3357</f>
        <v>10672</v>
      </c>
      <c r="J283" s="18">
        <v>32748</v>
      </c>
      <c r="K283" s="18"/>
      <c r="L283" s="19">
        <f t="shared" si="12"/>
        <v>58396</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v>5632</v>
      </c>
      <c r="L284" s="19">
        <f t="shared" si="12"/>
        <v>5632</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v>1764</v>
      </c>
      <c r="J287" s="18"/>
      <c r="K287" s="18"/>
      <c r="L287" s="19">
        <f t="shared" si="12"/>
        <v>1764</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v>3482</v>
      </c>
      <c r="J289" s="18"/>
      <c r="K289" s="18"/>
      <c r="L289" s="19">
        <f>SUM(F289:K289)</f>
        <v>3482</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254668</v>
      </c>
      <c r="G291" s="42">
        <f t="shared" si="13"/>
        <v>152147</v>
      </c>
      <c r="H291" s="42">
        <f t="shared" si="13"/>
        <v>16516</v>
      </c>
      <c r="I291" s="42">
        <f t="shared" si="13"/>
        <v>63870</v>
      </c>
      <c r="J291" s="42">
        <f t="shared" si="13"/>
        <v>32748</v>
      </c>
      <c r="K291" s="42">
        <f t="shared" si="13"/>
        <v>5632</v>
      </c>
      <c r="L291" s="41">
        <f t="shared" si="13"/>
        <v>525581</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43421</v>
      </c>
      <c r="G296" s="18">
        <v>12927</v>
      </c>
      <c r="H296" s="18"/>
      <c r="I296" s="18">
        <v>3307</v>
      </c>
      <c r="J296" s="18">
        <v>4601</v>
      </c>
      <c r="K296" s="18"/>
      <c r="L296" s="19">
        <f>SUM(F296:K296)</f>
        <v>64256</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v>2034</v>
      </c>
      <c r="G299" s="18">
        <v>296</v>
      </c>
      <c r="H299" s="18">
        <v>3600</v>
      </c>
      <c r="I299" s="18">
        <v>756</v>
      </c>
      <c r="J299" s="18"/>
      <c r="K299" s="18"/>
      <c r="L299" s="19">
        <f>SUM(F299:K299)</f>
        <v>6686</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v>9230</v>
      </c>
      <c r="J301" s="18">
        <v>389</v>
      </c>
      <c r="K301" s="18"/>
      <c r="L301" s="19">
        <f t="shared" ref="L301:L307" si="14">SUM(F301:K301)</f>
        <v>9619</v>
      </c>
      <c r="M301" s="8"/>
      <c r="N301" s="264"/>
    </row>
    <row r="302" spans="1:14" s="3" customFormat="1" ht="12.2" customHeight="1" x14ac:dyDescent="0.15">
      <c r="A302" s="1" t="s">
        <v>443</v>
      </c>
      <c r="B302" s="2" t="s">
        <v>358</v>
      </c>
      <c r="C302" s="2" t="s">
        <v>295</v>
      </c>
      <c r="D302" s="2" t="s">
        <v>431</v>
      </c>
      <c r="E302" s="6">
        <v>2200</v>
      </c>
      <c r="F302" s="18">
        <v>12243</v>
      </c>
      <c r="G302" s="18">
        <v>5949</v>
      </c>
      <c r="H302" s="18">
        <f>15000+2990</f>
        <v>17990</v>
      </c>
      <c r="I302" s="18">
        <v>672</v>
      </c>
      <c r="J302" s="18">
        <v>27676</v>
      </c>
      <c r="K302" s="18"/>
      <c r="L302" s="19">
        <f t="shared" si="14"/>
        <v>64530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v>689</v>
      </c>
      <c r="L303" s="19">
        <f t="shared" si="14"/>
        <v>689</v>
      </c>
      <c r="M303" s="8"/>
      <c r="N303" s="264"/>
    </row>
    <row r="304" spans="1:14" s="3" customFormat="1" ht="12.2" customHeight="1" x14ac:dyDescent="0.15">
      <c r="A304" s="1" t="s">
        <v>445</v>
      </c>
      <c r="B304" s="2" t="s">
        <v>358</v>
      </c>
      <c r="C304" s="2" t="s">
        <v>297</v>
      </c>
      <c r="D304" s="2" t="s">
        <v>431</v>
      </c>
      <c r="E304" s="6">
        <v>2400</v>
      </c>
      <c r="F304" s="18">
        <v>36683</v>
      </c>
      <c r="G304" s="18">
        <v>27444</v>
      </c>
      <c r="H304" s="18"/>
      <c r="I304" s="18"/>
      <c r="J304" s="18"/>
      <c r="K304" s="18"/>
      <c r="L304" s="19">
        <f t="shared" si="14"/>
        <v>64127</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v>1307</v>
      </c>
      <c r="I306" s="18">
        <v>913</v>
      </c>
      <c r="J306" s="18"/>
      <c r="K306" s="18"/>
      <c r="L306" s="19">
        <f t="shared" si="14"/>
        <v>2220</v>
      </c>
      <c r="M306" s="8"/>
      <c r="N306" s="264"/>
    </row>
    <row r="307" spans="1:14" s="3" customFormat="1" ht="12.2" customHeight="1" x14ac:dyDescent="0.15">
      <c r="A307" s="1" t="s">
        <v>448</v>
      </c>
      <c r="B307" s="2" t="s">
        <v>358</v>
      </c>
      <c r="C307" s="2" t="s">
        <v>300</v>
      </c>
      <c r="D307" s="2" t="s">
        <v>431</v>
      </c>
      <c r="E307" s="6">
        <v>2700</v>
      </c>
      <c r="F307" s="18"/>
      <c r="G307" s="18"/>
      <c r="H307" s="18"/>
      <c r="I307" s="18">
        <v>3320</v>
      </c>
      <c r="J307" s="18"/>
      <c r="K307" s="18"/>
      <c r="L307" s="19">
        <f t="shared" si="14"/>
        <v>3320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94381</v>
      </c>
      <c r="G310" s="42">
        <f t="shared" si="15"/>
        <v>46616</v>
      </c>
      <c r="H310" s="42">
        <f t="shared" si="15"/>
        <v>22897</v>
      </c>
      <c r="I310" s="42">
        <f t="shared" si="15"/>
        <v>18198</v>
      </c>
      <c r="J310" s="42">
        <f t="shared" si="15"/>
        <v>32666</v>
      </c>
      <c r="K310" s="42">
        <f t="shared" si="15"/>
        <v>689</v>
      </c>
      <c r="L310" s="41">
        <f t="shared" si="15"/>
        <v>215447</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v>11065</v>
      </c>
      <c r="J315" s="18"/>
      <c r="K315" s="18">
        <v>80</v>
      </c>
      <c r="L315" s="19">
        <f>SUM(F315:K315)</f>
        <v>11145</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v>4288</v>
      </c>
      <c r="G318" s="18">
        <v>740</v>
      </c>
      <c r="H318" s="18"/>
      <c r="I318" s="18">
        <v>1168</v>
      </c>
      <c r="J318" s="18"/>
      <c r="K318" s="18">
        <v>5000</v>
      </c>
      <c r="L318" s="19">
        <f>SUM(F318:K318)</f>
        <v>11196</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v>13402</v>
      </c>
      <c r="J320" s="18"/>
      <c r="K320" s="18">
        <v>355</v>
      </c>
      <c r="L320" s="19">
        <f t="shared" ref="L320:L326" si="16">SUM(F320:K320)</f>
        <v>13757</v>
      </c>
      <c r="M320" s="8"/>
      <c r="N320" s="264"/>
    </row>
    <row r="321" spans="1:14" s="3" customFormat="1" ht="12.2" customHeight="1" x14ac:dyDescent="0.15">
      <c r="A321" s="1" t="s">
        <v>443</v>
      </c>
      <c r="B321" s="2" t="s">
        <v>359</v>
      </c>
      <c r="C321" s="2" t="s">
        <v>295</v>
      </c>
      <c r="D321" s="2" t="s">
        <v>431</v>
      </c>
      <c r="E321" s="6">
        <v>2200</v>
      </c>
      <c r="F321" s="18">
        <v>3800</v>
      </c>
      <c r="G321" s="18">
        <v>958</v>
      </c>
      <c r="H321" s="18">
        <v>19550</v>
      </c>
      <c r="I321" s="18"/>
      <c r="J321" s="18">
        <v>40674</v>
      </c>
      <c r="K321" s="18"/>
      <c r="L321" s="19">
        <f t="shared" si="16"/>
        <v>64982</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f>22965</f>
        <v>22965</v>
      </c>
      <c r="G325" s="18">
        <v>10340</v>
      </c>
      <c r="H325" s="18">
        <f>5966+6673</f>
        <v>12639</v>
      </c>
      <c r="I325" s="18">
        <v>8977</v>
      </c>
      <c r="J325" s="18"/>
      <c r="K325" s="18"/>
      <c r="L325" s="19">
        <f t="shared" si="16"/>
        <v>54921</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v>5404</v>
      </c>
      <c r="J327" s="18"/>
      <c r="K327" s="18"/>
      <c r="L327" s="19">
        <f>SUM(F327:K327)</f>
        <v>5404</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31053</v>
      </c>
      <c r="G329" s="42">
        <f t="shared" si="17"/>
        <v>12038</v>
      </c>
      <c r="H329" s="42">
        <f t="shared" si="17"/>
        <v>32189</v>
      </c>
      <c r="I329" s="42">
        <f t="shared" si="17"/>
        <v>40016</v>
      </c>
      <c r="J329" s="42">
        <f t="shared" si="17"/>
        <v>40674</v>
      </c>
      <c r="K329" s="42">
        <f t="shared" si="17"/>
        <v>5435</v>
      </c>
      <c r="L329" s="41">
        <f t="shared" si="17"/>
        <v>161405</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380102</v>
      </c>
      <c r="G339" s="41">
        <f t="shared" si="20"/>
        <v>210801</v>
      </c>
      <c r="H339" s="41">
        <f t="shared" si="20"/>
        <v>71602</v>
      </c>
      <c r="I339" s="41">
        <f t="shared" si="20"/>
        <v>122084</v>
      </c>
      <c r="J339" s="41">
        <f t="shared" si="20"/>
        <v>106088</v>
      </c>
      <c r="K339" s="41">
        <f t="shared" si="20"/>
        <v>11756</v>
      </c>
      <c r="L339" s="41">
        <f t="shared" si="20"/>
        <v>902433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380102</v>
      </c>
      <c r="G353" s="41">
        <f>G339</f>
        <v>210801</v>
      </c>
      <c r="H353" s="41">
        <f>H339</f>
        <v>71602</v>
      </c>
      <c r="I353" s="41">
        <f>I339</f>
        <v>122084</v>
      </c>
      <c r="J353" s="41">
        <f>J339</f>
        <v>106088</v>
      </c>
      <c r="K353" s="47">
        <f>K339+K352</f>
        <v>11756</v>
      </c>
      <c r="L353" s="41">
        <f>L339+L352</f>
        <v>902433</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79896</v>
      </c>
      <c r="I359" s="18"/>
      <c r="J359" s="18"/>
      <c r="K359" s="18"/>
      <c r="L359" s="13">
        <f>SUM(F359:K359)</f>
        <v>79896</v>
      </c>
      <c r="M359" s="8"/>
      <c r="N359" s="264"/>
    </row>
    <row r="360" spans="1:22" s="3" customFormat="1" ht="12.2" customHeight="1" x14ac:dyDescent="0.15">
      <c r="A360" s="1" t="s">
        <v>542</v>
      </c>
      <c r="B360" s="2" t="s">
        <v>366</v>
      </c>
      <c r="C360" s="6">
        <v>2</v>
      </c>
      <c r="D360" s="2" t="s">
        <v>431</v>
      </c>
      <c r="E360" s="6"/>
      <c r="F360" s="18"/>
      <c r="G360" s="18"/>
      <c r="H360" s="18">
        <v>71006</v>
      </c>
      <c r="I360" s="18"/>
      <c r="J360" s="18"/>
      <c r="K360" s="18"/>
      <c r="L360" s="19">
        <f>SUM(F360:K360)</f>
        <v>71006</v>
      </c>
      <c r="M360" s="8"/>
      <c r="N360" s="264"/>
    </row>
    <row r="361" spans="1:22" s="3" customFormat="1" ht="12.2" customHeight="1" x14ac:dyDescent="0.15">
      <c r="A361" s="3" t="s">
        <v>543</v>
      </c>
      <c r="B361" s="2" t="s">
        <v>366</v>
      </c>
      <c r="C361" s="6">
        <v>3</v>
      </c>
      <c r="D361" s="2" t="s">
        <v>431</v>
      </c>
      <c r="E361" s="6"/>
      <c r="F361" s="18"/>
      <c r="G361" s="18"/>
      <c r="H361" s="18">
        <v>59045</v>
      </c>
      <c r="I361" s="18"/>
      <c r="J361" s="18"/>
      <c r="K361" s="18"/>
      <c r="L361" s="19">
        <f>SUM(F361:K361)</f>
        <v>59045</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209947</v>
      </c>
      <c r="I363" s="47">
        <f t="shared" si="22"/>
        <v>0</v>
      </c>
      <c r="J363" s="47">
        <f t="shared" si="22"/>
        <v>0</v>
      </c>
      <c r="K363" s="47">
        <f t="shared" si="22"/>
        <v>0</v>
      </c>
      <c r="L363" s="47">
        <f t="shared" si="22"/>
        <v>209947</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v>5000</v>
      </c>
      <c r="H393" s="18"/>
      <c r="I393" s="18"/>
      <c r="J393" s="24" t="s">
        <v>288</v>
      </c>
      <c r="K393" s="24" t="s">
        <v>288</v>
      </c>
      <c r="L393" s="56">
        <f t="shared" si="25"/>
        <v>5000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5000</v>
      </c>
      <c r="H394" s="139">
        <f>SUM(H388:H393)</f>
        <v>0</v>
      </c>
      <c r="I394" s="65">
        <f>SUM(I388:I393)</f>
        <v>0</v>
      </c>
      <c r="J394" s="45" t="s">
        <v>288</v>
      </c>
      <c r="K394" s="45" t="s">
        <v>288</v>
      </c>
      <c r="L394" s="47">
        <f>SUM(L388:L393)</f>
        <v>5000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50000</v>
      </c>
      <c r="H397" s="18"/>
      <c r="I397" s="18"/>
      <c r="J397" s="24" t="s">
        <v>288</v>
      </c>
      <c r="K397" s="24" t="s">
        <v>288</v>
      </c>
      <c r="L397" s="56">
        <f t="shared" si="26"/>
        <v>50000</v>
      </c>
      <c r="M397" s="8"/>
      <c r="N397" s="264"/>
    </row>
    <row r="398" spans="1:14" s="3" customFormat="1" ht="12.2" customHeight="1" x14ac:dyDescent="0.15">
      <c r="A398" s="79" t="s">
        <v>515</v>
      </c>
      <c r="B398" s="2" t="s">
        <v>381</v>
      </c>
      <c r="C398" s="6">
        <v>10</v>
      </c>
      <c r="D398" s="2" t="s">
        <v>432</v>
      </c>
      <c r="E398" s="6"/>
      <c r="F398" s="18"/>
      <c r="G398" s="18">
        <v>50000</v>
      </c>
      <c r="H398" s="18"/>
      <c r="I398" s="18"/>
      <c r="J398" s="24" t="s">
        <v>288</v>
      </c>
      <c r="K398" s="24" t="s">
        <v>288</v>
      </c>
      <c r="L398" s="56">
        <f t="shared" si="26"/>
        <v>50000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v>15000</v>
      </c>
      <c r="H401" s="18"/>
      <c r="I401" s="18">
        <v>593750</v>
      </c>
      <c r="J401" s="24" t="s">
        <v>288</v>
      </c>
      <c r="K401" s="24" t="s">
        <v>288</v>
      </c>
      <c r="L401" s="56">
        <f t="shared" si="26"/>
        <v>608750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115000</v>
      </c>
      <c r="H402" s="47">
        <f>SUM(H396:H401)</f>
        <v>0</v>
      </c>
      <c r="I402" s="47">
        <f>SUM(I396:I401)</f>
        <v>593750</v>
      </c>
      <c r="J402" s="45" t="s">
        <v>288</v>
      </c>
      <c r="K402" s="45" t="s">
        <v>288</v>
      </c>
      <c r="L402" s="47">
        <f>SUM(L396:L401)</f>
        <v>708750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120000</v>
      </c>
      <c r="H409" s="47">
        <f>H394+H402+H408</f>
        <v>0</v>
      </c>
      <c r="I409" s="47">
        <f>I394+I402+I408</f>
        <v>593750</v>
      </c>
      <c r="J409" s="24" t="s">
        <v>288</v>
      </c>
      <c r="K409" s="24" t="s">
        <v>288</v>
      </c>
      <c r="L409" s="47">
        <f>L394+L402+L408</f>
        <v>713750</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f>4+464</f>
        <v>468</v>
      </c>
      <c r="L419" s="56">
        <f t="shared" si="27"/>
        <v>468</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468</v>
      </c>
      <c r="L420" s="47">
        <f t="shared" si="28"/>
        <v>468</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v>1007</v>
      </c>
      <c r="L423" s="56">
        <f t="shared" si="29"/>
        <v>1007</v>
      </c>
      <c r="M423" s="8"/>
      <c r="N423" s="264"/>
    </row>
    <row r="424" spans="1:21" s="3" customFormat="1" ht="12.2" customHeight="1" x14ac:dyDescent="0.15">
      <c r="A424" s="79" t="s">
        <v>515</v>
      </c>
      <c r="B424" s="6">
        <v>17</v>
      </c>
      <c r="C424" s="6">
        <v>10</v>
      </c>
      <c r="D424" s="2" t="s">
        <v>432</v>
      </c>
      <c r="E424" s="6"/>
      <c r="F424" s="18"/>
      <c r="G424" s="18"/>
      <c r="H424" s="18"/>
      <c r="I424" s="18"/>
      <c r="J424" s="18"/>
      <c r="K424" s="18">
        <v>1246</v>
      </c>
      <c r="L424" s="56">
        <f t="shared" si="29"/>
        <v>1246</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f>270-2135</f>
        <v>-1865</v>
      </c>
      <c r="L427" s="56">
        <f t="shared" si="29"/>
        <v>-1865</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388</v>
      </c>
      <c r="L428" s="47">
        <f t="shared" si="30"/>
        <v>388</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856</v>
      </c>
      <c r="L435" s="47">
        <f t="shared" si="32"/>
        <v>856</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v>1208204</v>
      </c>
      <c r="H441" s="18"/>
      <c r="I441" s="56">
        <f t="shared" si="33"/>
        <v>1208204</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1208204</v>
      </c>
      <c r="H447" s="13">
        <f>SUM(H440:H446)</f>
        <v>0</v>
      </c>
      <c r="I447" s="13">
        <f>SUM(I440:I446)</f>
        <v>1208204</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1208204</v>
      </c>
      <c r="H460" s="18"/>
      <c r="I460" s="56">
        <f t="shared" si="34"/>
        <v>1208204</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1208204</v>
      </c>
      <c r="H461" s="83">
        <f>SUM(H455:H460)</f>
        <v>0</v>
      </c>
      <c r="I461" s="83">
        <f>SUM(I455:I460)</f>
        <v>1208204</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1208204</v>
      </c>
      <c r="H462" s="42">
        <f>H453+H461</f>
        <v>0</v>
      </c>
      <c r="I462" s="42">
        <f>I453+I461</f>
        <v>1208204</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2202240</v>
      </c>
      <c r="G466" s="18">
        <v>0</v>
      </c>
      <c r="H466" s="18">
        <v>9997</v>
      </c>
      <c r="I466" s="18">
        <v>104173</v>
      </c>
      <c r="J466" s="18">
        <v>495310</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13184337</v>
      </c>
      <c r="G469" s="18">
        <v>209947</v>
      </c>
      <c r="H469" s="18">
        <f>6000+648237+238224</f>
        <v>892461</v>
      </c>
      <c r="I469" s="18">
        <v>12588</v>
      </c>
      <c r="J469" s="18">
        <v>713750</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13184337</v>
      </c>
      <c r="G471" s="53">
        <f>SUM(G469:G470)</f>
        <v>209947</v>
      </c>
      <c r="H471" s="53">
        <f>SUM(H469:H470)</f>
        <v>892461</v>
      </c>
      <c r="I471" s="53">
        <f>SUM(I469:I470)</f>
        <v>12588</v>
      </c>
      <c r="J471" s="53">
        <f>SUM(J469:J470)</f>
        <v>713750</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13468375</v>
      </c>
      <c r="G473" s="18">
        <v>209947</v>
      </c>
      <c r="H473" s="18">
        <f>648237+15973+238224-1</f>
        <v>902433</v>
      </c>
      <c r="I473" s="18">
        <v>0</v>
      </c>
      <c r="J473" s="18">
        <v>856</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13468375</v>
      </c>
      <c r="G475" s="53">
        <f>SUM(G473:G474)</f>
        <v>209947</v>
      </c>
      <c r="H475" s="53">
        <f>SUM(H473:H474)</f>
        <v>902433</v>
      </c>
      <c r="I475" s="53">
        <f>SUM(I473:I474)</f>
        <v>0</v>
      </c>
      <c r="J475" s="53">
        <f>SUM(J473:J474)</f>
        <v>856</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1918202</v>
      </c>
      <c r="G477" s="53">
        <f>(G466+G471)- G475</f>
        <v>0</v>
      </c>
      <c r="H477" s="53">
        <f>(H466+H471)- H475</f>
        <v>25</v>
      </c>
      <c r="I477" s="53">
        <f>(I466+I471)- I475</f>
        <v>116761</v>
      </c>
      <c r="J477" s="53">
        <f>(J466+J471)- J475</f>
        <v>1208204</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15</v>
      </c>
      <c r="G491" s="154">
        <v>14</v>
      </c>
      <c r="H491" s="154">
        <v>20</v>
      </c>
      <c r="I491" s="154"/>
      <c r="J491" s="175"/>
      <c r="K491" s="24" t="s">
        <v>288</v>
      </c>
      <c r="L491" s="24" t="s">
        <v>288</v>
      </c>
      <c r="N491" s="263"/>
    </row>
    <row r="492" spans="1:14" s="52" customFormat="1" ht="12.2" customHeight="1" x14ac:dyDescent="0.2">
      <c r="A492" s="22" t="s">
        <v>615</v>
      </c>
      <c r="B492" s="75">
        <v>20</v>
      </c>
      <c r="C492" s="115">
        <v>2</v>
      </c>
      <c r="D492" s="2" t="s">
        <v>432</v>
      </c>
      <c r="E492" s="115"/>
      <c r="F492" s="155" t="s">
        <v>1673</v>
      </c>
      <c r="G492" s="155" t="s">
        <v>1674</v>
      </c>
      <c r="H492" s="359" t="s">
        <v>1675</v>
      </c>
      <c r="I492" s="359"/>
      <c r="J492" s="175"/>
      <c r="K492" s="24" t="s">
        <v>288</v>
      </c>
      <c r="L492" s="24" t="s">
        <v>288</v>
      </c>
      <c r="N492" s="263"/>
    </row>
    <row r="493" spans="1:14" s="52" customFormat="1" ht="12.2" customHeight="1" x14ac:dyDescent="0.2">
      <c r="A493" s="22" t="s">
        <v>616</v>
      </c>
      <c r="B493" s="75">
        <v>20</v>
      </c>
      <c r="C493" s="115">
        <v>3</v>
      </c>
      <c r="D493" s="2" t="s">
        <v>432</v>
      </c>
      <c r="E493" s="115"/>
      <c r="F493" s="155" t="s">
        <v>1676</v>
      </c>
      <c r="G493" s="155" t="s">
        <v>1677</v>
      </c>
      <c r="H493" s="359" t="s">
        <v>1678</v>
      </c>
      <c r="I493" s="359"/>
      <c r="J493" s="175"/>
      <c r="K493" s="24" t="s">
        <v>288</v>
      </c>
      <c r="L493" s="24" t="s">
        <v>288</v>
      </c>
      <c r="N493" s="263"/>
    </row>
    <row r="494" spans="1:14" s="52" customFormat="1" ht="12.2" customHeight="1" x14ac:dyDescent="0.2">
      <c r="A494" s="22" t="s">
        <v>617</v>
      </c>
      <c r="B494" s="75">
        <v>20</v>
      </c>
      <c r="C494" s="115">
        <v>4</v>
      </c>
      <c r="D494" s="2" t="s">
        <v>432</v>
      </c>
      <c r="E494" s="115"/>
      <c r="F494" s="18">
        <v>1694000</v>
      </c>
      <c r="G494" s="18">
        <v>1498000</v>
      </c>
      <c r="H494" s="18">
        <v>3541950</v>
      </c>
      <c r="I494" s="18"/>
      <c r="J494" s="175"/>
      <c r="K494" s="24" t="s">
        <v>288</v>
      </c>
      <c r="L494" s="24" t="s">
        <v>288</v>
      </c>
      <c r="N494" s="263"/>
    </row>
    <row r="495" spans="1:14" s="52" customFormat="1" ht="12.2" customHeight="1" x14ac:dyDescent="0.2">
      <c r="A495" s="22" t="s">
        <v>618</v>
      </c>
      <c r="B495" s="75">
        <v>20</v>
      </c>
      <c r="C495" s="115">
        <v>5</v>
      </c>
      <c r="D495" s="2" t="s">
        <v>432</v>
      </c>
      <c r="E495" s="115"/>
      <c r="F495" s="18">
        <v>0</v>
      </c>
      <c r="G495" s="18">
        <v>0</v>
      </c>
      <c r="H495" s="18">
        <v>3.34</v>
      </c>
      <c r="I495" s="18"/>
      <c r="J495" s="175"/>
      <c r="K495" s="24" t="s">
        <v>288</v>
      </c>
      <c r="L495" s="24" t="s">
        <v>288</v>
      </c>
      <c r="N495" s="263"/>
    </row>
    <row r="496" spans="1:14" s="52" customFormat="1" ht="12.2" customHeight="1" x14ac:dyDescent="0.2">
      <c r="A496" s="22" t="s">
        <v>619</v>
      </c>
      <c r="B496" s="75">
        <v>20</v>
      </c>
      <c r="C496" s="115">
        <v>6</v>
      </c>
      <c r="D496" s="2" t="s">
        <v>432</v>
      </c>
      <c r="E496" s="115"/>
      <c r="F496" s="18">
        <f>607600.03-112933.33-112933.33-112933.33-112933.33</f>
        <v>155866.70999999996</v>
      </c>
      <c r="G496" s="18">
        <f>749000-107000-107000-107000-107000</f>
        <v>321000</v>
      </c>
      <c r="H496" s="18">
        <f>3541950-111950</f>
        <v>3430000</v>
      </c>
      <c r="I496" s="18"/>
      <c r="J496" s="175"/>
      <c r="K496" s="53">
        <f>SUM(F496:J496)</f>
        <v>3906866.71</v>
      </c>
      <c r="L496" s="24" t="s">
        <v>288</v>
      </c>
      <c r="N496" s="263"/>
    </row>
    <row r="497" spans="1:14" s="52" customFormat="1" ht="12.2" customHeight="1" x14ac:dyDescent="0.2">
      <c r="A497" s="22" t="s">
        <v>620</v>
      </c>
      <c r="B497" s="75">
        <v>20</v>
      </c>
      <c r="C497" s="115">
        <v>7</v>
      </c>
      <c r="D497" s="2" t="s">
        <v>432</v>
      </c>
      <c r="E497" s="115"/>
      <c r="F497" s="18"/>
      <c r="G497" s="18"/>
      <c r="H497" s="18"/>
      <c r="I497" s="18"/>
      <c r="J497" s="175"/>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112933.33</v>
      </c>
      <c r="G498" s="18">
        <v>107000</v>
      </c>
      <c r="H498" s="18">
        <v>115000</v>
      </c>
      <c r="I498" s="18"/>
      <c r="J498" s="175"/>
      <c r="K498" s="53">
        <f t="shared" si="35"/>
        <v>334933.33</v>
      </c>
      <c r="L498" s="24" t="s">
        <v>288</v>
      </c>
      <c r="N498" s="263"/>
    </row>
    <row r="499" spans="1:14" s="52" customFormat="1" ht="12.2" customHeight="1" x14ac:dyDescent="0.2">
      <c r="A499" s="200" t="s">
        <v>622</v>
      </c>
      <c r="B499" s="201">
        <v>20</v>
      </c>
      <c r="C499" s="202">
        <v>9</v>
      </c>
      <c r="D499" s="203" t="s">
        <v>432</v>
      </c>
      <c r="E499" s="202"/>
      <c r="F499" s="204">
        <f>F496-F498</f>
        <v>42933.379999999961</v>
      </c>
      <c r="G499" s="204">
        <f>G496-G498</f>
        <v>214000</v>
      </c>
      <c r="H499" s="204">
        <f>H496-H498</f>
        <v>3315000</v>
      </c>
      <c r="I499" s="204"/>
      <c r="J499" s="204"/>
      <c r="K499" s="205">
        <f t="shared" si="35"/>
        <v>3571933.38</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42933.379999999961</v>
      </c>
      <c r="G501" s="42">
        <f>SUM(G499:G500)</f>
        <v>214000</v>
      </c>
      <c r="H501" s="42">
        <f>SUM(H499:H500)</f>
        <v>3315000</v>
      </c>
      <c r="I501" s="42">
        <f>SUM(I499:I500)</f>
        <v>0</v>
      </c>
      <c r="J501" s="42">
        <f>SUM(J499:J500)</f>
        <v>0</v>
      </c>
      <c r="K501" s="42">
        <f t="shared" si="35"/>
        <v>3571933.38</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301356</v>
      </c>
      <c r="G522" s="18">
        <v>153236</v>
      </c>
      <c r="H522" s="18">
        <v>7925</v>
      </c>
      <c r="I522" s="18">
        <v>13437</v>
      </c>
      <c r="J522" s="18">
        <v>803</v>
      </c>
      <c r="K522" s="18"/>
      <c r="L522" s="88">
        <f>SUM(F522:K522)</f>
        <v>476757</v>
      </c>
      <c r="N522" s="263"/>
    </row>
    <row r="523" spans="1:14" s="52" customFormat="1" ht="12.2" customHeight="1" x14ac:dyDescent="0.2">
      <c r="A523" s="22" t="s">
        <v>634</v>
      </c>
      <c r="B523" s="105">
        <v>21</v>
      </c>
      <c r="C523" s="115">
        <v>2</v>
      </c>
      <c r="D523" s="2" t="s">
        <v>432</v>
      </c>
      <c r="E523" s="115"/>
      <c r="F523" s="18">
        <v>393475</v>
      </c>
      <c r="G523" s="18">
        <v>190784</v>
      </c>
      <c r="H523" s="18">
        <f>53734+161742</f>
        <v>215476</v>
      </c>
      <c r="I523" s="18">
        <v>3764</v>
      </c>
      <c r="J523" s="18">
        <v>25</v>
      </c>
      <c r="K523" s="18"/>
      <c r="L523" s="88">
        <f>SUM(F523:K523)</f>
        <v>803524</v>
      </c>
      <c r="N523" s="263"/>
    </row>
    <row r="524" spans="1:14" s="52" customFormat="1" ht="12.2" customHeight="1" thickBot="1" x14ac:dyDescent="0.25">
      <c r="A524" s="22" t="s">
        <v>635</v>
      </c>
      <c r="B524" s="105">
        <v>21</v>
      </c>
      <c r="C524" s="115">
        <v>3</v>
      </c>
      <c r="D524" s="2" t="s">
        <v>432</v>
      </c>
      <c r="E524" s="115"/>
      <c r="F524" s="18">
        <v>392808</v>
      </c>
      <c r="G524" s="18">
        <v>230989</v>
      </c>
      <c r="H524" s="18">
        <f>29428+315150</f>
        <v>344578</v>
      </c>
      <c r="I524" s="18">
        <v>2498</v>
      </c>
      <c r="J524" s="18"/>
      <c r="K524" s="18"/>
      <c r="L524" s="88">
        <f>SUM(F524:K524)</f>
        <v>970873</v>
      </c>
      <c r="N524" s="263"/>
    </row>
    <row r="525" spans="1:14" s="52" customFormat="1" ht="12.2" customHeight="1" thickTop="1" x14ac:dyDescent="0.2">
      <c r="A525" s="139" t="s">
        <v>63</v>
      </c>
      <c r="B525" s="107">
        <v>21</v>
      </c>
      <c r="C525" s="195">
        <v>4</v>
      </c>
      <c r="D525" s="196" t="s">
        <v>432</v>
      </c>
      <c r="E525" s="195"/>
      <c r="F525" s="108">
        <f>SUM(F522:F524)</f>
        <v>1087639</v>
      </c>
      <c r="G525" s="108">
        <f t="shared" ref="G525:L525" si="36">SUM(G522:G524)</f>
        <v>575009</v>
      </c>
      <c r="H525" s="108">
        <f t="shared" si="36"/>
        <v>567979</v>
      </c>
      <c r="I525" s="108">
        <f t="shared" si="36"/>
        <v>19699</v>
      </c>
      <c r="J525" s="108">
        <f t="shared" si="36"/>
        <v>828</v>
      </c>
      <c r="K525" s="108">
        <f t="shared" si="36"/>
        <v>0</v>
      </c>
      <c r="L525" s="89">
        <f t="shared" si="36"/>
        <v>2251154</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v>203267</v>
      </c>
      <c r="I527" s="18">
        <v>56</v>
      </c>
      <c r="J527" s="18"/>
      <c r="K527" s="18"/>
      <c r="L527" s="88">
        <f>SUM(F527:K527)</f>
        <v>203323</v>
      </c>
      <c r="M527" s="8"/>
      <c r="N527" s="264"/>
    </row>
    <row r="528" spans="1:14" s="3" customFormat="1" ht="12.2" customHeight="1" x14ac:dyDescent="0.15">
      <c r="A528" s="22" t="s">
        <v>634</v>
      </c>
      <c r="B528" s="105">
        <v>21</v>
      </c>
      <c r="C528" s="115">
        <v>6</v>
      </c>
      <c r="D528" s="2" t="s">
        <v>432</v>
      </c>
      <c r="E528" s="115"/>
      <c r="F528" s="18"/>
      <c r="G528" s="18"/>
      <c r="H528" s="18">
        <v>107026</v>
      </c>
      <c r="I528" s="18">
        <v>329</v>
      </c>
      <c r="J528" s="18"/>
      <c r="K528" s="18"/>
      <c r="L528" s="88">
        <f>SUM(F528:K528)</f>
        <v>107355</v>
      </c>
      <c r="M528" s="8"/>
      <c r="N528" s="264"/>
    </row>
    <row r="529" spans="1:14" s="3" customFormat="1" ht="12.2" customHeight="1" thickBot="1" x14ac:dyDescent="0.2">
      <c r="A529" s="22" t="s">
        <v>635</v>
      </c>
      <c r="B529" s="118">
        <v>21</v>
      </c>
      <c r="C529" s="118">
        <v>7</v>
      </c>
      <c r="D529" s="2" t="s">
        <v>432</v>
      </c>
      <c r="E529" s="118"/>
      <c r="F529" s="18"/>
      <c r="G529" s="18"/>
      <c r="H529" s="18">
        <v>27447</v>
      </c>
      <c r="I529" s="18">
        <v>67</v>
      </c>
      <c r="J529" s="18"/>
      <c r="K529" s="18"/>
      <c r="L529" s="88">
        <f>SUM(F529:K529)</f>
        <v>27514</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337740</v>
      </c>
      <c r="I530" s="89">
        <f t="shared" si="37"/>
        <v>452</v>
      </c>
      <c r="J530" s="89">
        <f t="shared" si="37"/>
        <v>0</v>
      </c>
      <c r="K530" s="89">
        <f t="shared" si="37"/>
        <v>0</v>
      </c>
      <c r="L530" s="89">
        <f t="shared" si="37"/>
        <v>338192</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v>57191</v>
      </c>
      <c r="I532" s="18"/>
      <c r="J532" s="18"/>
      <c r="K532" s="18"/>
      <c r="L532" s="88">
        <f>SUM(F532:K532)</f>
        <v>57191</v>
      </c>
      <c r="M532" s="8"/>
      <c r="N532" s="264"/>
    </row>
    <row r="533" spans="1:14" s="3" customFormat="1" ht="12.2" customHeight="1" x14ac:dyDescent="0.15">
      <c r="A533" s="22" t="s">
        <v>634</v>
      </c>
      <c r="B533" s="105">
        <v>21</v>
      </c>
      <c r="C533" s="105">
        <v>10</v>
      </c>
      <c r="D533" s="2" t="s">
        <v>432</v>
      </c>
      <c r="E533" s="105"/>
      <c r="F533" s="18"/>
      <c r="G533" s="18"/>
      <c r="H533" s="18">
        <v>62237</v>
      </c>
      <c r="I533" s="18"/>
      <c r="J533" s="18"/>
      <c r="K533" s="18"/>
      <c r="L533" s="88">
        <f>SUM(F533:K533)</f>
        <v>62237</v>
      </c>
      <c r="M533" s="8"/>
      <c r="N533" s="264"/>
    </row>
    <row r="534" spans="1:14" s="3" customFormat="1" ht="12.2" customHeight="1" thickBot="1" x14ac:dyDescent="0.2">
      <c r="A534" s="22" t="s">
        <v>635</v>
      </c>
      <c r="B534" s="105">
        <v>21</v>
      </c>
      <c r="C534" s="105">
        <v>11</v>
      </c>
      <c r="D534" s="2" t="s">
        <v>432</v>
      </c>
      <c r="E534" s="105"/>
      <c r="F534" s="18"/>
      <c r="G534" s="18"/>
      <c r="H534" s="18">
        <v>48781</v>
      </c>
      <c r="I534" s="18"/>
      <c r="J534" s="18"/>
      <c r="K534" s="18"/>
      <c r="L534" s="88">
        <f>SUM(F534:K534)</f>
        <v>48781</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168209</v>
      </c>
      <c r="I535" s="89">
        <f t="shared" si="38"/>
        <v>0</v>
      </c>
      <c r="J535" s="89">
        <f t="shared" si="38"/>
        <v>0</v>
      </c>
      <c r="K535" s="89">
        <f t="shared" si="38"/>
        <v>0</v>
      </c>
      <c r="L535" s="89">
        <f t="shared" si="38"/>
        <v>168209</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v>9290</v>
      </c>
      <c r="G542" s="18">
        <v>4897</v>
      </c>
      <c r="H542" s="18">
        <f>2125+899+2408</f>
        <v>5432</v>
      </c>
      <c r="I542" s="18">
        <v>1215</v>
      </c>
      <c r="J542" s="18"/>
      <c r="K542" s="18">
        <v>23</v>
      </c>
      <c r="L542" s="88">
        <f>SUM(F542:K542)</f>
        <v>20857</v>
      </c>
      <c r="M542" s="8"/>
      <c r="N542" s="264"/>
    </row>
    <row r="543" spans="1:14" s="3" customFormat="1" ht="12.2" customHeight="1" x14ac:dyDescent="0.15">
      <c r="A543" s="22" t="s">
        <v>634</v>
      </c>
      <c r="B543" s="105">
        <v>21</v>
      </c>
      <c r="C543" s="105">
        <v>18</v>
      </c>
      <c r="D543" s="2" t="s">
        <v>432</v>
      </c>
      <c r="E543" s="105"/>
      <c r="F543" s="18">
        <v>10976</v>
      </c>
      <c r="G543" s="18">
        <v>5787</v>
      </c>
      <c r="H543" s="18">
        <f>1031+473</f>
        <v>1504</v>
      </c>
      <c r="I543" s="18">
        <v>1433</v>
      </c>
      <c r="J543" s="18"/>
      <c r="K543" s="18">
        <v>27</v>
      </c>
      <c r="L543" s="88">
        <f>SUM(F543:K543)</f>
        <v>19727</v>
      </c>
      <c r="M543" s="8"/>
      <c r="N543" s="264"/>
    </row>
    <row r="544" spans="1:14" s="3" customFormat="1" ht="12.2" customHeight="1" thickBot="1" x14ac:dyDescent="0.2">
      <c r="A544" s="22" t="s">
        <v>635</v>
      </c>
      <c r="B544" s="105">
        <v>21</v>
      </c>
      <c r="C544" s="105">
        <v>19</v>
      </c>
      <c r="D544" s="2" t="s">
        <v>432</v>
      </c>
      <c r="E544" s="105"/>
      <c r="F544" s="18">
        <v>7881</v>
      </c>
      <c r="G544" s="18">
        <v>4155</v>
      </c>
      <c r="H544" s="18">
        <f>780+672</f>
        <v>1452</v>
      </c>
      <c r="I544" s="18">
        <v>1035</v>
      </c>
      <c r="J544" s="18"/>
      <c r="K544" s="18">
        <v>20</v>
      </c>
      <c r="L544" s="88">
        <f>SUM(F544:K544)</f>
        <v>14543</v>
      </c>
      <c r="M544" s="8"/>
      <c r="N544" s="264"/>
    </row>
    <row r="545" spans="1:14" s="3" customFormat="1" ht="12.2" customHeight="1" thickTop="1" thickBot="1" x14ac:dyDescent="0.2">
      <c r="A545" s="130" t="s">
        <v>71</v>
      </c>
      <c r="B545" s="191">
        <v>21</v>
      </c>
      <c r="C545" s="191">
        <v>20</v>
      </c>
      <c r="D545" s="192" t="s">
        <v>432</v>
      </c>
      <c r="E545" s="191"/>
      <c r="F545" s="193">
        <f>SUM(F542:F544)</f>
        <v>28147</v>
      </c>
      <c r="G545" s="193">
        <f t="shared" ref="G545:L545" si="40">SUM(G542:G544)</f>
        <v>14839</v>
      </c>
      <c r="H545" s="193">
        <f t="shared" si="40"/>
        <v>8388</v>
      </c>
      <c r="I545" s="193">
        <f t="shared" si="40"/>
        <v>3683</v>
      </c>
      <c r="J545" s="193">
        <f t="shared" si="40"/>
        <v>0</v>
      </c>
      <c r="K545" s="193">
        <f t="shared" si="40"/>
        <v>70</v>
      </c>
      <c r="L545" s="193">
        <f t="shared" si="40"/>
        <v>55127</v>
      </c>
      <c r="M545" s="8"/>
      <c r="N545" s="264"/>
    </row>
    <row r="546" spans="1:14" s="3" customFormat="1" ht="12.2" customHeight="1" thickTop="1" x14ac:dyDescent="0.15">
      <c r="A546" s="98" t="s">
        <v>72</v>
      </c>
      <c r="B546" s="107">
        <v>21</v>
      </c>
      <c r="C546" s="107">
        <v>21</v>
      </c>
      <c r="D546" s="158" t="s">
        <v>432</v>
      </c>
      <c r="E546" s="107"/>
      <c r="F546" s="89">
        <f>F525+F530+F535+F540+F545</f>
        <v>1115786</v>
      </c>
      <c r="G546" s="89">
        <f t="shared" ref="G546:L546" si="41">G525+G530+G535+G540+G545</f>
        <v>589848</v>
      </c>
      <c r="H546" s="89">
        <f t="shared" si="41"/>
        <v>1082316</v>
      </c>
      <c r="I546" s="89">
        <f t="shared" si="41"/>
        <v>23834</v>
      </c>
      <c r="J546" s="89">
        <f t="shared" si="41"/>
        <v>828</v>
      </c>
      <c r="K546" s="89">
        <f t="shared" si="41"/>
        <v>70</v>
      </c>
      <c r="L546" s="89">
        <f t="shared" si="41"/>
        <v>2812682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476757</v>
      </c>
      <c r="G550" s="87">
        <f>L527</f>
        <v>203323</v>
      </c>
      <c r="H550" s="87">
        <f>L532</f>
        <v>57191</v>
      </c>
      <c r="I550" s="87">
        <f>L537</f>
        <v>0</v>
      </c>
      <c r="J550" s="87">
        <f>L542</f>
        <v>20857</v>
      </c>
      <c r="K550" s="87">
        <f>SUM(F550:J550)</f>
        <v>758128</v>
      </c>
      <c r="L550" s="24" t="s">
        <v>288</v>
      </c>
      <c r="M550" s="8"/>
      <c r="N550" s="264"/>
    </row>
    <row r="551" spans="1:14" s="3" customFormat="1" ht="12.2" customHeight="1" x14ac:dyDescent="0.15">
      <c r="A551" s="22" t="s">
        <v>634</v>
      </c>
      <c r="B551" s="75">
        <v>21</v>
      </c>
      <c r="C551" s="75">
        <v>23</v>
      </c>
      <c r="D551" s="2" t="s">
        <v>432</v>
      </c>
      <c r="E551" s="75"/>
      <c r="F551" s="87">
        <f>L523</f>
        <v>803524</v>
      </c>
      <c r="G551" s="87">
        <f>L528</f>
        <v>107355</v>
      </c>
      <c r="H551" s="87">
        <f>L533</f>
        <v>62237</v>
      </c>
      <c r="I551" s="87">
        <f>L538</f>
        <v>0</v>
      </c>
      <c r="J551" s="87">
        <f>L543</f>
        <v>19727</v>
      </c>
      <c r="K551" s="87">
        <f>SUM(F551:J551)</f>
        <v>992843</v>
      </c>
      <c r="L551" s="24" t="s">
        <v>288</v>
      </c>
      <c r="M551" s="8"/>
      <c r="N551" s="264"/>
    </row>
    <row r="552" spans="1:14" s="3" customFormat="1" ht="12.2" customHeight="1" thickBot="1" x14ac:dyDescent="0.2">
      <c r="A552" s="22" t="s">
        <v>635</v>
      </c>
      <c r="B552" s="75">
        <v>21</v>
      </c>
      <c r="C552" s="75">
        <v>24</v>
      </c>
      <c r="D552" s="2" t="s">
        <v>432</v>
      </c>
      <c r="E552" s="75"/>
      <c r="F552" s="87">
        <f>L524</f>
        <v>970873</v>
      </c>
      <c r="G552" s="87">
        <f>L529</f>
        <v>27514</v>
      </c>
      <c r="H552" s="87">
        <f>L534</f>
        <v>48781</v>
      </c>
      <c r="I552" s="87">
        <f>L539</f>
        <v>0</v>
      </c>
      <c r="J552" s="87">
        <f>L544</f>
        <v>14543</v>
      </c>
      <c r="K552" s="87">
        <f>SUM(F552:J552)</f>
        <v>1061711</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2251154</v>
      </c>
      <c r="G553" s="89">
        <f t="shared" si="42"/>
        <v>338192</v>
      </c>
      <c r="H553" s="89">
        <f t="shared" si="42"/>
        <v>168209</v>
      </c>
      <c r="I553" s="89">
        <f t="shared" si="42"/>
        <v>0</v>
      </c>
      <c r="J553" s="89">
        <f t="shared" si="42"/>
        <v>55127</v>
      </c>
      <c r="K553" s="89">
        <f t="shared" si="42"/>
        <v>2812682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v>0</v>
      </c>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v>473</v>
      </c>
      <c r="I564" s="18"/>
      <c r="J564" s="18"/>
      <c r="K564" s="18"/>
      <c r="L564" s="88">
        <f>SUM(F564:K564)</f>
        <v>473</v>
      </c>
      <c r="M564" s="8"/>
      <c r="N564" s="264"/>
    </row>
    <row r="565" spans="1:14" s="3" customFormat="1" ht="12.2" customHeight="1" thickBot="1" x14ac:dyDescent="0.2">
      <c r="A565" s="22" t="s">
        <v>635</v>
      </c>
      <c r="B565" s="105">
        <v>22</v>
      </c>
      <c r="C565" s="118">
        <v>7</v>
      </c>
      <c r="D565" s="2" t="s">
        <v>432</v>
      </c>
      <c r="E565" s="118"/>
      <c r="F565" s="18"/>
      <c r="G565" s="18"/>
      <c r="H565" s="18">
        <v>472</v>
      </c>
      <c r="I565" s="18"/>
      <c r="J565" s="18"/>
      <c r="K565" s="18"/>
      <c r="L565" s="88">
        <f>SUM(F565:K565)</f>
        <v>472</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945</v>
      </c>
      <c r="I566" s="89">
        <f t="shared" si="44"/>
        <v>0</v>
      </c>
      <c r="J566" s="89">
        <f t="shared" si="44"/>
        <v>0</v>
      </c>
      <c r="K566" s="89">
        <f t="shared" si="44"/>
        <v>0</v>
      </c>
      <c r="L566" s="89">
        <f t="shared" si="44"/>
        <v>945</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945</v>
      </c>
      <c r="I572" s="89">
        <f t="shared" si="46"/>
        <v>0</v>
      </c>
      <c r="J572" s="89">
        <f t="shared" si="46"/>
        <v>0</v>
      </c>
      <c r="K572" s="89">
        <f t="shared" si="46"/>
        <v>0</v>
      </c>
      <c r="L572" s="89">
        <f t="shared" si="46"/>
        <v>945</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v>15414</v>
      </c>
      <c r="I581" s="87">
        <f t="shared" si="47"/>
        <v>15414</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v>161742</v>
      </c>
      <c r="H583" s="18">
        <v>299736</v>
      </c>
      <c r="I583" s="87">
        <f t="shared" si="47"/>
        <v>461478</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v>303475</v>
      </c>
      <c r="I586" s="87">
        <f t="shared" si="47"/>
        <v>303475</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130293-1</f>
        <v>130292</v>
      </c>
      <c r="I592" s="18">
        <v>153982</v>
      </c>
      <c r="J592" s="18">
        <f>110551+1</f>
        <v>110552</v>
      </c>
      <c r="K592" s="104">
        <f t="shared" ref="K592:K598" si="48">SUM(H592:J592)</f>
        <v>394826</v>
      </c>
      <c r="L592" s="24" t="s">
        <v>288</v>
      </c>
      <c r="M592" s="8"/>
      <c r="N592" s="264"/>
    </row>
    <row r="593" spans="1:14" s="3" customFormat="1" ht="12.2" customHeight="1" x14ac:dyDescent="0.15">
      <c r="A593" s="3" t="s">
        <v>638</v>
      </c>
      <c r="B593" s="75">
        <v>23</v>
      </c>
      <c r="C593" s="75">
        <v>2</v>
      </c>
      <c r="D593" s="2" t="s">
        <v>432</v>
      </c>
      <c r="E593" s="75"/>
      <c r="F593" s="102">
        <v>2722</v>
      </c>
      <c r="G593" s="103" t="s">
        <v>97</v>
      </c>
      <c r="H593" s="18">
        <v>20858</v>
      </c>
      <c r="I593" s="18">
        <v>19728</v>
      </c>
      <c r="J593" s="18">
        <v>14543</v>
      </c>
      <c r="K593" s="104">
        <f t="shared" si="48"/>
        <v>55129</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11043</v>
      </c>
      <c r="K594" s="104">
        <f t="shared" si="48"/>
        <v>11043</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v>13618</v>
      </c>
      <c r="K595" s="104">
        <f t="shared" si="48"/>
        <v>13618</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v>296</v>
      </c>
      <c r="J596" s="18"/>
      <c r="K596" s="104">
        <f t="shared" si="48"/>
        <v>296</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v>15804</v>
      </c>
      <c r="J598" s="18">
        <v>11768</v>
      </c>
      <c r="K598" s="104">
        <f t="shared" si="48"/>
        <v>27572</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151150</v>
      </c>
      <c r="I599" s="108">
        <f>SUM(I592:I598)</f>
        <v>189810</v>
      </c>
      <c r="J599" s="108">
        <f>SUM(J592:J598)</f>
        <v>161524</v>
      </c>
      <c r="K599" s="108">
        <f>SUM(K592:K598)</f>
        <v>502484</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87808</v>
      </c>
      <c r="I605" s="18">
        <v>112635</v>
      </c>
      <c r="J605" s="18">
        <f>111753-2</f>
        <v>111751</v>
      </c>
      <c r="K605" s="104">
        <f>SUM(H605:J605)</f>
        <v>312194</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87808</v>
      </c>
      <c r="I606" s="108">
        <f>SUM(I603:I605)</f>
        <v>112635</v>
      </c>
      <c r="J606" s="108">
        <f>SUM(J603:J605)</f>
        <v>111751</v>
      </c>
      <c r="K606" s="108">
        <f>SUM(K603:K605)</f>
        <v>312194</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v>11968</v>
      </c>
      <c r="G612" s="18">
        <v>3046</v>
      </c>
      <c r="H612" s="18"/>
      <c r="I612" s="18"/>
      <c r="J612" s="18"/>
      <c r="K612" s="18"/>
      <c r="L612" s="88">
        <f>SUM(F612:K612)</f>
        <v>15014</v>
      </c>
      <c r="M612" s="8"/>
      <c r="N612" s="264"/>
    </row>
    <row r="613" spans="1:14" s="3" customFormat="1" ht="12.2" customHeight="1" x14ac:dyDescent="0.15">
      <c r="A613" s="22" t="s">
        <v>634</v>
      </c>
      <c r="B613" s="75">
        <v>23</v>
      </c>
      <c r="C613" s="75">
        <v>14</v>
      </c>
      <c r="D613" s="2" t="s">
        <v>432</v>
      </c>
      <c r="E613" s="75"/>
      <c r="F613" s="18">
        <v>10693</v>
      </c>
      <c r="G613" s="18">
        <v>2610</v>
      </c>
      <c r="H613" s="18">
        <f>3600+1720</f>
        <v>5320</v>
      </c>
      <c r="I613" s="18">
        <v>602</v>
      </c>
      <c r="J613" s="18"/>
      <c r="K613" s="18"/>
      <c r="L613" s="88">
        <f>SUM(F613:K613)</f>
        <v>19225</v>
      </c>
      <c r="M613" s="8"/>
      <c r="N613" s="264"/>
    </row>
    <row r="614" spans="1:14" s="3" customFormat="1" ht="12.2" customHeight="1" thickBot="1" x14ac:dyDescent="0.2">
      <c r="A614" s="22" t="s">
        <v>645</v>
      </c>
      <c r="B614" s="75">
        <v>23</v>
      </c>
      <c r="C614" s="75">
        <v>15</v>
      </c>
      <c r="D614" s="2" t="s">
        <v>432</v>
      </c>
      <c r="E614" s="75"/>
      <c r="F614" s="18">
        <v>7916</v>
      </c>
      <c r="G614" s="18">
        <v>1866</v>
      </c>
      <c r="H614" s="18">
        <v>3440</v>
      </c>
      <c r="I614" s="18"/>
      <c r="J614" s="18"/>
      <c r="K614" s="18"/>
      <c r="L614" s="88">
        <f>SUM(F614:K614)</f>
        <v>13222</v>
      </c>
      <c r="M614" s="8"/>
      <c r="N614" s="264"/>
    </row>
    <row r="615" spans="1:14" s="3" customFormat="1" ht="12.2" customHeight="1" thickTop="1" x14ac:dyDescent="0.15">
      <c r="A615" s="98" t="s">
        <v>340</v>
      </c>
      <c r="B615" s="107">
        <v>23</v>
      </c>
      <c r="C615" s="107">
        <v>16</v>
      </c>
      <c r="D615" s="39" t="s">
        <v>432</v>
      </c>
      <c r="E615" s="107"/>
      <c r="F615" s="108">
        <f t="shared" ref="F615:L615" si="49">SUM(F612:F614)</f>
        <v>30577</v>
      </c>
      <c r="G615" s="108">
        <f t="shared" si="49"/>
        <v>7522</v>
      </c>
      <c r="H615" s="108">
        <f t="shared" si="49"/>
        <v>8760</v>
      </c>
      <c r="I615" s="108">
        <f t="shared" si="49"/>
        <v>602</v>
      </c>
      <c r="J615" s="108">
        <f t="shared" si="49"/>
        <v>0</v>
      </c>
      <c r="K615" s="108">
        <f t="shared" si="49"/>
        <v>0</v>
      </c>
      <c r="L615" s="89">
        <f t="shared" si="49"/>
        <v>47461</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2141721</v>
      </c>
      <c r="H618" s="109">
        <f>SUM(F52)</f>
        <v>2141721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49828</v>
      </c>
      <c r="H619" s="109">
        <f>SUM(G52)</f>
        <v>49828</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145745</v>
      </c>
      <c r="H620" s="109">
        <f>SUM(H52)</f>
        <v>145745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909801</v>
      </c>
      <c r="H621" s="109">
        <f>SUM(I52)</f>
        <v>909801</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1208204</v>
      </c>
      <c r="H622" s="109">
        <f>SUM(J52)</f>
        <v>1208204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1918202</v>
      </c>
      <c r="H623" s="109">
        <f>F477</f>
        <v>1918202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25</v>
      </c>
      <c r="H625" s="109">
        <f>H477</f>
        <v>25</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116761</v>
      </c>
      <c r="H626" s="109">
        <f>I477</f>
        <v>116761</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1208204</v>
      </c>
      <c r="H627" s="109">
        <f>J477</f>
        <v>1208204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13184337</v>
      </c>
      <c r="H628" s="104">
        <f>SUM(F469)</f>
        <v>13184337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209947</v>
      </c>
      <c r="H629" s="104">
        <f>SUM(G469)</f>
        <v>209947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892461</v>
      </c>
      <c r="H630" s="104">
        <f>SUM(H469)</f>
        <v>892461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12588</v>
      </c>
      <c r="H631" s="104">
        <f>SUM(I469)</f>
        <v>12588</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713750</v>
      </c>
      <c r="H632" s="104">
        <f>SUM(J469)</f>
        <v>713750</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13468375</v>
      </c>
      <c r="H633" s="104">
        <f>SUM(F473)</f>
        <v>13468375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902433</v>
      </c>
      <c r="H634" s="104">
        <f>SUM(H473)</f>
        <v>902433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209947</v>
      </c>
      <c r="H636" s="104">
        <f>SUM(G473)</f>
        <v>209947</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713750</v>
      </c>
      <c r="H638" s="164">
        <f>SUM(J469)</f>
        <v>713750</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856</v>
      </c>
      <c r="H639" s="164">
        <f>SUM(J473)</f>
        <v>856</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1208204</v>
      </c>
      <c r="H641" s="104">
        <f>SUM(G462)</f>
        <v>1208204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1208204</v>
      </c>
      <c r="H643" s="104">
        <f>SUM(I462)</f>
        <v>1208204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0</v>
      </c>
      <c r="H645" s="104">
        <f>H409</f>
        <v>0</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120000</v>
      </c>
      <c r="H646" s="104">
        <f>G409</f>
        <v>120000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713750</v>
      </c>
      <c r="H647" s="104">
        <f>L409</f>
        <v>713750</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502484</v>
      </c>
      <c r="H648" s="104">
        <f>L209+L227+L245</f>
        <v>502484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312194</v>
      </c>
      <c r="H649" s="104">
        <f>(J258+J339)-(J256+J337)</f>
        <v>312194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151150</v>
      </c>
      <c r="H650" s="104">
        <f>H599</f>
        <v>151150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189810</v>
      </c>
      <c r="H651" s="104">
        <f>I599</f>
        <v>189810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161524</v>
      </c>
      <c r="H652" s="104">
        <f>J599</f>
        <v>161524</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24225</v>
      </c>
      <c r="H653" s="104">
        <f>K264+K346</f>
        <v>24225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120000</v>
      </c>
      <c r="H656" s="104">
        <f>K267+K348</f>
        <v>120000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4029932</v>
      </c>
      <c r="G661" s="19">
        <f>(L230+L310+L360)</f>
        <v>4863866</v>
      </c>
      <c r="H661" s="19">
        <f>(L248+L329+L361)</f>
        <v>5031485</v>
      </c>
      <c r="I661" s="19">
        <f>SUM(F661:H661)</f>
        <v>13925283</v>
      </c>
      <c r="J661" s="13"/>
      <c r="K661" s="13"/>
      <c r="L661" s="13"/>
      <c r="M661" s="9"/>
    </row>
    <row r="662" spans="1:13" s="3" customFormat="1" ht="12.2" customHeight="1" x14ac:dyDescent="0.2">
      <c r="A662" s="1" t="s">
        <v>127</v>
      </c>
      <c r="F662" s="19">
        <f>(L359/IF(SUM(L359:L361)=0,1,SUM(L359:L361))*(SUM(G97:G110)))</f>
        <v>1060.9822860055158</v>
      </c>
      <c r="G662" s="19">
        <f>(L360/IF(SUM(L359:L361)=0,1,SUM(L359:L361))*(SUM(G97:G110)))</f>
        <v>942.92715780649405</v>
      </c>
      <c r="H662" s="19">
        <f>(L361/IF(SUM(L359:L361)=0,1,SUM(L359:L361))*(SUM(G97:G110)))</f>
        <v>784.09055618799027</v>
      </c>
      <c r="I662" s="19">
        <f>SUM(F662:H662)</f>
        <v>2788</v>
      </c>
      <c r="J662"/>
      <c r="K662" s="13"/>
      <c r="L662" s="13"/>
      <c r="M662" s="8"/>
    </row>
    <row r="663" spans="1:13" s="3" customFormat="1" ht="12.2" customHeight="1" x14ac:dyDescent="0.2">
      <c r="A663" s="1" t="s">
        <v>128</v>
      </c>
      <c r="F663" s="19">
        <f>(L209+L288)-(J209+J288)</f>
        <v>151150</v>
      </c>
      <c r="G663" s="19">
        <f>(L227+L307)-(J227+J307)</f>
        <v>193130</v>
      </c>
      <c r="H663" s="19">
        <f>(L245+L326)-(J245+J326)</f>
        <v>161524</v>
      </c>
      <c r="I663" s="19">
        <f>SUM(F663:H663)</f>
        <v>505804</v>
      </c>
      <c r="J663"/>
      <c r="K663" s="13"/>
      <c r="L663" s="13"/>
      <c r="M663" s="9"/>
    </row>
    <row r="664" spans="1:13" s="3" customFormat="1" ht="12.2" customHeight="1" x14ac:dyDescent="0.15">
      <c r="A664" s="198" t="s">
        <v>129</v>
      </c>
      <c r="B664" s="169"/>
      <c r="C664" s="169"/>
      <c r="D664" s="169"/>
      <c r="E664" s="169"/>
      <c r="F664" s="199">
        <f>SUM(F576:F588)+SUM(H603:H605)+SUM(L612)</f>
        <v>102822</v>
      </c>
      <c r="G664" s="199">
        <f>SUM(G576:G588)+SUM(I603:I605)+L613</f>
        <v>293602</v>
      </c>
      <c r="H664" s="199">
        <f>SUM(H576:H588)+SUM(J603:J605)+L614</f>
        <v>743598</v>
      </c>
      <c r="I664" s="19">
        <f>SUM(F664:H664)</f>
        <v>1140022</v>
      </c>
      <c r="J664" s="13"/>
      <c r="K664" s="13"/>
      <c r="L664" s="13"/>
      <c r="M664" s="9"/>
    </row>
    <row r="665" spans="1:13" s="3" customFormat="1" ht="12.2" customHeight="1" x14ac:dyDescent="0.15">
      <c r="A665" s="1" t="s">
        <v>130</v>
      </c>
      <c r="F665" s="19">
        <f>F661-SUM(F662:F664)</f>
        <v>3774899.0177139947</v>
      </c>
      <c r="G665" s="19">
        <f>G661-SUM(G662:G664)</f>
        <v>4376191.0728421938</v>
      </c>
      <c r="H665" s="19">
        <f>H661-SUM(H662:H664)</f>
        <v>4125578.909443812</v>
      </c>
      <c r="I665" s="19">
        <f>I661-SUM(I662:I664)</f>
        <v>12276669</v>
      </c>
      <c r="J665" s="13"/>
      <c r="K665" s="13"/>
      <c r="L665" s="13"/>
      <c r="M665" s="8"/>
    </row>
    <row r="666" spans="1:13" s="3" customFormat="1" ht="12.2" customHeight="1" x14ac:dyDescent="0.25">
      <c r="A666" s="1" t="s">
        <v>131</v>
      </c>
      <c r="F666" s="360">
        <v>177.2</v>
      </c>
      <c r="G666" s="360">
        <v>236.29</v>
      </c>
      <c r="H666" s="360">
        <v>212.23</v>
      </c>
      <c r="I666" s="19">
        <f>SUM(F666:H666)</f>
        <v>625.72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21303.040000000001</v>
      </c>
      <c r="G668" s="19">
        <f>ROUND(G665/G666,2)</f>
        <v>18520.419999999998</v>
      </c>
      <c r="H668" s="19">
        <f>ROUND(H665/H666,2)</f>
        <v>19439.189999999999</v>
      </c>
      <c r="I668" s="19">
        <f>ROUND(I665/I666,2)</f>
        <v>19620.07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-10.17</v>
      </c>
      <c r="I671" s="19">
        <f>SUM(F671:H671)</f>
        <v>-10.17</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21303.040000000001</v>
      </c>
      <c r="G673" s="19">
        <f>ROUND((G665+G670)/(G666+G671),2)</f>
        <v>18520.419999999998</v>
      </c>
      <c r="H673" s="19">
        <f>ROUND((H665+H670)/(H666+H671),2)</f>
        <v>20417.59</v>
      </c>
      <c r="I673" s="19">
        <f>ROUND((I665+I670)/(I666+I671),2)</f>
        <v>19944.23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23" sqref="E23"/>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1" t="s">
        <v>1669</v>
      </c>
      <c r="D2" s="361"/>
      <c r="E2" s="361"/>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123841</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113200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119057</v>
      </c>
      <c r="F22" s="346"/>
    </row>
    <row r="23" spans="2:8" x14ac:dyDescent="0.25">
      <c r="B23" s="346"/>
      <c r="C23" s="346"/>
      <c r="D23" s="346"/>
      <c r="E23" s="346"/>
      <c r="F23" s="346"/>
    </row>
    <row r="24" spans="2:8" ht="26.25" customHeight="1" x14ac:dyDescent="0.25">
      <c r="B24" s="346"/>
      <c r="C24" s="348" t="s">
        <v>1661</v>
      </c>
      <c r="D24" s="346"/>
      <c r="E24" s="341">
        <f>1374+2880+220+3000+1141+2134+2750+2308</f>
        <v>15807</v>
      </c>
      <c r="F24" s="346"/>
    </row>
    <row r="25" spans="2:8" ht="18" x14ac:dyDescent="0.25">
      <c r="B25" s="346"/>
      <c r="C25" s="349"/>
      <c r="D25" s="346"/>
      <c r="E25" s="346"/>
      <c r="F25" s="346"/>
    </row>
    <row r="26" spans="2:8" ht="27.75" customHeight="1" x14ac:dyDescent="0.25">
      <c r="B26" s="346"/>
      <c r="C26" s="348" t="s">
        <v>1662</v>
      </c>
      <c r="D26" s="346"/>
      <c r="E26" s="341">
        <f>22965+5937+15+52+1763+2574+5966+319+480+3034+1506+7315+1681+3148+363+389+2734+1307+3018+584+7500+6673+1973+672+5719+83+334+3522+2611+913+301+2892+1477+3430</f>
        <v>103250</v>
      </c>
      <c r="F26" s="346"/>
    </row>
    <row r="27" spans="2:8" x14ac:dyDescent="0.25">
      <c r="B27" s="346"/>
      <c r="C27" s="348"/>
      <c r="D27" s="346"/>
      <c r="E27" s="346"/>
      <c r="F27" s="346"/>
    </row>
    <row r="28" spans="2:8" ht="15.75" customHeight="1" x14ac:dyDescent="0.25">
      <c r="B28" s="346"/>
      <c r="C28" s="348" t="s">
        <v>1663</v>
      </c>
      <c r="D28" s="346"/>
      <c r="E28" s="342">
        <v>0</v>
      </c>
      <c r="F28" s="346"/>
    </row>
    <row r="29" spans="2:8" x14ac:dyDescent="0.25">
      <c r="B29" s="346"/>
      <c r="C29" s="346"/>
      <c r="D29" s="346"/>
      <c r="E29" s="346"/>
      <c r="F29" s="346"/>
    </row>
    <row r="30" spans="2:8" ht="16.5" customHeight="1" x14ac:dyDescent="0.25">
      <c r="B30" s="346"/>
      <c r="C30" s="348" t="s">
        <v>1664</v>
      </c>
      <c r="D30" s="346"/>
      <c r="E30" s="341">
        <f>20969+4692+11779+6427+16556+9490+31185</f>
        <v>101098</v>
      </c>
      <c r="F30" s="346"/>
    </row>
    <row r="31" spans="2:8" x14ac:dyDescent="0.25">
      <c r="B31" s="346"/>
      <c r="C31" s="346"/>
      <c r="D31" s="346"/>
      <c r="E31" s="346"/>
      <c r="F31" s="346"/>
      <c r="H31" s="358" t="str">
        <f>IF(SUM(E7:E17)=(SUM(E22:E30)),"","Revenues and Expenditures do not match!!. Please correct.")</f>
        <v>Revenues and Expenditures do not match!!. Please correct.</v>
      </c>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3" t="str">
        <f>'DOE25'!A2</f>
        <v>HAVERHILL COOPERATIVE SCHOOL DISTRICT</v>
      </c>
      <c r="C5" s="364"/>
      <c r="D5" s="364"/>
      <c r="E5" s="364"/>
      <c r="F5" s="364"/>
    </row>
    <row r="8" spans="1:9" ht="18" x14ac:dyDescent="0.25">
      <c r="A8" s="317" t="s">
        <v>1576</v>
      </c>
      <c r="F8" s="324" t="s">
        <v>1594</v>
      </c>
    </row>
    <row r="9" spans="1:9" ht="15" x14ac:dyDescent="0.2">
      <c r="A9" s="315" t="s">
        <v>1577</v>
      </c>
      <c r="B9" s="318">
        <f>'DOE25'!G97</f>
        <v>2371</v>
      </c>
      <c r="F9" s="315" t="s">
        <v>1590</v>
      </c>
    </row>
    <row r="10" spans="1:9" ht="15" x14ac:dyDescent="0.2">
      <c r="A10" s="315" t="s">
        <v>1578</v>
      </c>
      <c r="B10" s="318">
        <f>'DOE25'!G112-'DOE25'!G97</f>
        <v>417</v>
      </c>
      <c r="F10" s="315" t="s">
        <v>1591</v>
      </c>
    </row>
    <row r="11" spans="1:9" ht="15" x14ac:dyDescent="0.2">
      <c r="A11" s="315" t="s">
        <v>1579</v>
      </c>
      <c r="B11" s="318">
        <f>'DOE25'!G140</f>
        <v>4163</v>
      </c>
      <c r="F11" s="315" t="s">
        <v>1592</v>
      </c>
    </row>
    <row r="12" spans="1:9" ht="15" x14ac:dyDescent="0.2">
      <c r="A12" s="315" t="s">
        <v>1580</v>
      </c>
      <c r="B12" s="318">
        <f>'DOE25'!G170</f>
        <v>178771</v>
      </c>
      <c r="F12" s="315" t="s">
        <v>1593</v>
      </c>
    </row>
    <row r="13" spans="1:9" ht="15" x14ac:dyDescent="0.2">
      <c r="A13" s="315" t="s">
        <v>1581</v>
      </c>
      <c r="B13" s="318">
        <f>'DOE25'!G193-'DOE25'!G180</f>
        <v>0</v>
      </c>
      <c r="F13" s="315" t="s">
        <v>1603</v>
      </c>
    </row>
    <row r="14" spans="1:9" ht="18" x14ac:dyDescent="0.25">
      <c r="A14" s="317" t="s">
        <v>732</v>
      </c>
      <c r="B14" s="319">
        <f>SUM(B9:B13)</f>
        <v>185722</v>
      </c>
    </row>
    <row r="16" spans="1:9" ht="18" x14ac:dyDescent="0.25">
      <c r="A16" s="317" t="s">
        <v>786</v>
      </c>
      <c r="F16" s="324" t="s">
        <v>1595</v>
      </c>
    </row>
    <row r="17" spans="1:6" ht="15" x14ac:dyDescent="0.2">
      <c r="A17" s="315" t="s">
        <v>1582</v>
      </c>
      <c r="B17" s="318">
        <f>'DOE25'!L363-'DOE25'!L362</f>
        <v>209947</v>
      </c>
      <c r="F17" s="315" t="s">
        <v>1596</v>
      </c>
    </row>
    <row r="18" spans="1:6" ht="15" x14ac:dyDescent="0.2">
      <c r="A18" s="315" t="s">
        <v>1583</v>
      </c>
      <c r="B18" s="328"/>
      <c r="F18" s="324" t="s">
        <v>1620</v>
      </c>
    </row>
    <row r="19" spans="1:6" ht="18" x14ac:dyDescent="0.25">
      <c r="A19" s="317" t="s">
        <v>725</v>
      </c>
      <c r="B19" s="319">
        <f>SUM(B17:B18)</f>
        <v>209947</v>
      </c>
    </row>
    <row r="21" spans="1:6" ht="18.75" thickBot="1" x14ac:dyDescent="0.3">
      <c r="A21" s="317" t="s">
        <v>1584</v>
      </c>
    </row>
    <row r="22" spans="1:6" ht="18.75" thickTop="1" x14ac:dyDescent="0.25">
      <c r="A22" s="317" t="s">
        <v>1585</v>
      </c>
      <c r="B22" s="323">
        <f>B14-B19</f>
        <v>-24225</v>
      </c>
      <c r="F22" s="315" t="s">
        <v>1597</v>
      </c>
    </row>
    <row r="26" spans="1:6" ht="18" x14ac:dyDescent="0.25">
      <c r="A26" s="317" t="s">
        <v>186</v>
      </c>
    </row>
    <row r="27" spans="1:6" ht="15" x14ac:dyDescent="0.2">
      <c r="A27" s="315" t="s">
        <v>1586</v>
      </c>
      <c r="B27" s="318">
        <f>'DOE25'!G180</f>
        <v>24225</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f>5114.47+4337.05+2699.17</f>
        <v>12150.69</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0" zoomScale="130" zoomScaleNormal="130" workbookViewId="0">
      <selection activeCell="A6" sqref="A6"/>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HAVERHILL COOPERATIVE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3081759</v>
      </c>
      <c r="C9" s="229">
        <f>'DOE25'!G198+'DOE25'!G216+'DOE25'!G234+'DOE25'!G277+'DOE25'!G296+'DOE25'!G315</f>
        <v>1622199</v>
      </c>
    </row>
    <row r="10" spans="1:3" x14ac:dyDescent="0.2">
      <c r="A10" t="s">
        <v>775</v>
      </c>
      <c r="B10" s="240">
        <v>2990384</v>
      </c>
      <c r="C10" s="240">
        <v>1614574</v>
      </c>
    </row>
    <row r="11" spans="1:3" x14ac:dyDescent="0.2">
      <c r="A11" t="s">
        <v>776</v>
      </c>
      <c r="B11" s="240">
        <v>5138</v>
      </c>
      <c r="C11" s="240">
        <v>1028</v>
      </c>
    </row>
    <row r="12" spans="1:3" x14ac:dyDescent="0.2">
      <c r="A12" t="s">
        <v>777</v>
      </c>
      <c r="B12" s="240">
        <v>86237</v>
      </c>
      <c r="C12" s="240">
        <v>6597</v>
      </c>
    </row>
    <row r="13" spans="1:3" x14ac:dyDescent="0.2">
      <c r="A13" t="str">
        <f>IF(B9=B13,IF(C9=C13,"Check Total OK","Check Total Error"),"Check Total Error")</f>
        <v>Check Total OK</v>
      </c>
      <c r="B13" s="231">
        <f>SUM(B10:B12)</f>
        <v>3081759</v>
      </c>
      <c r="C13" s="231">
        <f>SUM(C10:C12)</f>
        <v>1622199</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1245581</v>
      </c>
      <c r="C18" s="229">
        <f>'DOE25'!G199+'DOE25'!G217+'DOE25'!G235+'DOE25'!G278+'DOE25'!G297+'DOE25'!G316</f>
        <v>646544</v>
      </c>
    </row>
    <row r="19" spans="1:3" x14ac:dyDescent="0.2">
      <c r="A19" t="s">
        <v>775</v>
      </c>
      <c r="B19" s="240">
        <f>601100</f>
        <v>601100</v>
      </c>
      <c r="C19" s="240">
        <v>321842</v>
      </c>
    </row>
    <row r="20" spans="1:3" x14ac:dyDescent="0.2">
      <c r="A20" t="s">
        <v>776</v>
      </c>
      <c r="B20" s="240">
        <f>594949+35617</f>
        <v>630566</v>
      </c>
      <c r="C20" s="240">
        <v>323637</v>
      </c>
    </row>
    <row r="21" spans="1:3" x14ac:dyDescent="0.2">
      <c r="A21" t="s">
        <v>777</v>
      </c>
      <c r="B21" s="240">
        <f>13915</f>
        <v>13915</v>
      </c>
      <c r="C21" s="240">
        <v>1065</v>
      </c>
    </row>
    <row r="22" spans="1:3" x14ac:dyDescent="0.2">
      <c r="A22" t="str">
        <f>IF(B18=B22,IF(C18=C22,"Check Total OK","Check Total Error"),"Check Total Error")</f>
        <v>Check Total OK</v>
      </c>
      <c r="B22" s="231">
        <f>SUM(B19:B21)</f>
        <v>1245581</v>
      </c>
      <c r="C22" s="231">
        <f>SUM(C19:C21)</f>
        <v>646544</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179664</v>
      </c>
      <c r="C36" s="235">
        <f>'DOE25'!G201+'DOE25'!G219+'DOE25'!G237+'DOE25'!G280+'DOE25'!G299+'DOE25'!G318</f>
        <v>37184</v>
      </c>
    </row>
    <row r="37" spans="1:3" x14ac:dyDescent="0.2">
      <c r="A37" t="s">
        <v>775</v>
      </c>
      <c r="B37" s="240">
        <f>7563+12664+18326+29946+80554</f>
        <v>149053</v>
      </c>
      <c r="C37" s="240">
        <v>32195</v>
      </c>
    </row>
    <row r="38" spans="1:3" x14ac:dyDescent="0.2">
      <c r="A38" t="s">
        <v>776</v>
      </c>
      <c r="B38" s="240">
        <v>23691</v>
      </c>
      <c r="C38" s="240">
        <v>4460</v>
      </c>
    </row>
    <row r="39" spans="1:3" x14ac:dyDescent="0.2">
      <c r="A39" t="s">
        <v>777</v>
      </c>
      <c r="B39" s="240">
        <f>5748+100+1072</f>
        <v>6920</v>
      </c>
      <c r="C39" s="240">
        <v>529</v>
      </c>
    </row>
    <row r="40" spans="1:3" x14ac:dyDescent="0.2">
      <c r="A40" t="str">
        <f>IF(B36=B40,IF(C36=C40,"Check Total OK","Check Total Error"),"Check Total Error")</f>
        <v>Check Total OK</v>
      </c>
      <c r="B40" s="231">
        <f>SUM(B37:B39)</f>
        <v>179664</v>
      </c>
      <c r="C40" s="231">
        <f>SUM(C37:C39)</f>
        <v>37184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110" zoomScaleNormal="110" workbookViewId="0">
      <pane ySplit="4" topLeftCell="A5" activePane="bottomLeft" state="frozen"/>
      <selection activeCell="F46" sqref="F46"/>
      <selection pane="bottomLeft" activeCell="E35" sqref="E35"/>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58" t="str">
        <f>'DOE25'!A2</f>
        <v>HAVERHILL COOPERATIVE SCHOOL DISTRICT</v>
      </c>
      <c r="C2" s="275"/>
      <c r="D2" s="181" t="s">
        <v>787</v>
      </c>
      <c r="E2" s="181" t="s">
        <v>789</v>
      </c>
      <c r="F2" s="368" t="s">
        <v>891</v>
      </c>
      <c r="G2" s="369"/>
      <c r="H2" s="369"/>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7741318</v>
      </c>
      <c r="D5" s="20">
        <f>SUM('DOE25'!L198:L201)+SUM('DOE25'!L216:L219)+SUM('DOE25'!L234:L237)-F5-G5-H5</f>
        <v>7667630</v>
      </c>
      <c r="E5" s="243"/>
      <c r="F5" s="244">
        <f>59727+36877-25000-25000</f>
        <v>46604</v>
      </c>
      <c r="G5" s="53">
        <f>SUM('DOE25'!J198:J201)+SUM('DOE25'!J216:J219)+SUM('DOE25'!J234:J237)</f>
        <v>15849</v>
      </c>
      <c r="H5" s="53">
        <f>SUM('DOE25'!K198:K201)+SUM('DOE25'!K216:K219)+SUM('DOE25'!K234:K237)</f>
        <v>11235</v>
      </c>
      <c r="I5" s="254"/>
    </row>
    <row r="6" spans="1:9" x14ac:dyDescent="0.2">
      <c r="A6" s="32">
        <v>2100</v>
      </c>
      <c r="B6" t="s">
        <v>796</v>
      </c>
      <c r="C6" s="273">
        <f t="shared" si="0"/>
        <v>960329</v>
      </c>
      <c r="D6" s="20">
        <f>'DOE25'!L203+'DOE25'!L221+'DOE25'!L239-F6-G6-H6</f>
        <v>958863</v>
      </c>
      <c r="E6" s="243"/>
      <c r="F6" s="244"/>
      <c r="G6" s="53">
        <f>'DOE25'!J203+'DOE25'!J221+'DOE25'!J239</f>
        <v>1466</v>
      </c>
      <c r="H6" s="53">
        <f>'DOE25'!K203+'DOE25'!K221+'DOE25'!K239</f>
        <v>0</v>
      </c>
      <c r="I6" s="254"/>
    </row>
    <row r="7" spans="1:9" x14ac:dyDescent="0.2">
      <c r="A7" s="32">
        <v>2200</v>
      </c>
      <c r="B7" t="s">
        <v>821</v>
      </c>
      <c r="C7" s="273">
        <f t="shared" si="0"/>
        <v>575150</v>
      </c>
      <c r="D7" s="20">
        <f>'DOE25'!L204+'DOE25'!L222+'DOE25'!L240-F7-G7-H7</f>
        <v>438905</v>
      </c>
      <c r="E7" s="243"/>
      <c r="F7" s="244"/>
      <c r="G7" s="53">
        <f>'DOE25'!J204+'DOE25'!J222+'DOE25'!J240</f>
        <v>136245</v>
      </c>
      <c r="H7" s="53">
        <f>'DOE25'!K204+'DOE25'!K222+'DOE25'!K240</f>
        <v>0</v>
      </c>
      <c r="I7" s="254"/>
    </row>
    <row r="8" spans="1:9" x14ac:dyDescent="0.2">
      <c r="A8" s="32">
        <v>2300</v>
      </c>
      <c r="B8" t="s">
        <v>797</v>
      </c>
      <c r="C8" s="273">
        <f t="shared" si="0"/>
        <v>690089</v>
      </c>
      <c r="D8" s="243"/>
      <c r="E8" s="20">
        <f>'DOE25'!L205+'DOE25'!L223+'DOE25'!L241-F8-G8-H8-D9-D11</f>
        <v>682925</v>
      </c>
      <c r="F8" s="244"/>
      <c r="G8" s="53">
        <f>'DOE25'!J205+'DOE25'!J223+'DOE25'!J241</f>
        <v>0</v>
      </c>
      <c r="H8" s="53">
        <f>'DOE25'!K205+'DOE25'!K223+'DOE25'!K241</f>
        <v>7164</v>
      </c>
      <c r="I8" s="254"/>
    </row>
    <row r="9" spans="1:9" ht="14.25" x14ac:dyDescent="0.2">
      <c r="A9" s="32">
        <v>2310</v>
      </c>
      <c r="B9" s="185" t="s">
        <v>888</v>
      </c>
      <c r="C9" s="273">
        <f t="shared" si="0"/>
        <v>28370</v>
      </c>
      <c r="D9" s="244">
        <v>28370</v>
      </c>
      <c r="E9" s="243"/>
      <c r="F9" s="251"/>
      <c r="G9" s="251"/>
      <c r="H9" s="251"/>
      <c r="I9" s="254"/>
    </row>
    <row r="10" spans="1:9" ht="14.25" x14ac:dyDescent="0.2">
      <c r="A10" s="32">
        <v>2317</v>
      </c>
      <c r="B10" s="185" t="s">
        <v>889</v>
      </c>
      <c r="C10" s="273">
        <f t="shared" si="0"/>
        <v>14500</v>
      </c>
      <c r="D10" s="243"/>
      <c r="E10" s="244">
        <v>14500</v>
      </c>
      <c r="F10" s="251"/>
      <c r="G10" s="251"/>
      <c r="H10" s="251"/>
      <c r="I10" s="254"/>
    </row>
    <row r="11" spans="1:9" ht="14.25" x14ac:dyDescent="0.2">
      <c r="A11" s="32">
        <v>2321</v>
      </c>
      <c r="B11" s="185" t="s">
        <v>890</v>
      </c>
      <c r="C11" s="273">
        <f t="shared" si="0"/>
        <v>160106</v>
      </c>
      <c r="D11" s="244">
        <v>160106</v>
      </c>
      <c r="E11" s="243"/>
      <c r="F11" s="251"/>
      <c r="G11" s="251"/>
      <c r="H11" s="251"/>
      <c r="I11" s="254"/>
    </row>
    <row r="12" spans="1:9" x14ac:dyDescent="0.2">
      <c r="A12" s="32">
        <v>2400</v>
      </c>
      <c r="B12" t="s">
        <v>711</v>
      </c>
      <c r="C12" s="273">
        <f t="shared" si="0"/>
        <v>928958</v>
      </c>
      <c r="D12" s="20">
        <f>'DOE25'!L206+'DOE25'!L224+'DOE25'!L242-F12-G12-H12</f>
        <v>922643</v>
      </c>
      <c r="E12" s="243"/>
      <c r="F12" s="244"/>
      <c r="G12" s="53">
        <f>'DOE25'!J206+'DOE25'!J224+'DOE25'!J242</f>
        <v>1019</v>
      </c>
      <c r="H12" s="53">
        <f>'DOE25'!K206+'DOE25'!K224+'DOE25'!K242</f>
        <v>5296</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1165173</v>
      </c>
      <c r="D14" s="20">
        <f>'DOE25'!L208+'DOE25'!L226+'DOE25'!L244-F14-G14-H14</f>
        <v>1126025</v>
      </c>
      <c r="E14" s="243"/>
      <c r="F14" s="244"/>
      <c r="G14" s="53">
        <f>'DOE25'!J208+'DOE25'!J226+'DOE25'!J244</f>
        <v>38198</v>
      </c>
      <c r="H14" s="53">
        <f>'DOE25'!K208+'DOE25'!K226+'DOE25'!K244</f>
        <v>950</v>
      </c>
      <c r="I14" s="254"/>
    </row>
    <row r="15" spans="1:9" x14ac:dyDescent="0.2">
      <c r="A15" s="32">
        <v>2700</v>
      </c>
      <c r="B15" t="s">
        <v>799</v>
      </c>
      <c r="C15" s="273">
        <f t="shared" si="0"/>
        <v>502484</v>
      </c>
      <c r="D15" s="20">
        <f>'DOE25'!L209+'DOE25'!L227+'DOE25'!L245-F15-G15-H15</f>
        <v>212292</v>
      </c>
      <c r="E15" s="243"/>
      <c r="F15" s="244">
        <f>394826-25000-54704-25000</f>
        <v>290122</v>
      </c>
      <c r="G15" s="53">
        <f>'DOE25'!J209+'DOE25'!J227+'DOE25'!J245</f>
        <v>0</v>
      </c>
      <c r="H15" s="53">
        <f>'DOE25'!K209+'DOE25'!K227+'DOE25'!K245</f>
        <v>70</v>
      </c>
      <c r="I15" s="254"/>
    </row>
    <row r="16" spans="1:9" x14ac:dyDescent="0.2">
      <c r="A16" s="32">
        <v>2800</v>
      </c>
      <c r="B16" t="s">
        <v>800</v>
      </c>
      <c r="C16" s="273">
        <f t="shared" si="0"/>
        <v>60926</v>
      </c>
      <c r="D16" s="243"/>
      <c r="E16" s="20">
        <f>'DOE25'!L210+'DOE25'!L228+'DOE25'!L246-F16-G16-H16</f>
        <v>47597</v>
      </c>
      <c r="F16" s="244"/>
      <c r="G16" s="53">
        <f>'DOE25'!J210+'DOE25'!J228+'DOE25'!J246</f>
        <v>13329</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9270</v>
      </c>
      <c r="D19" s="20">
        <f>'DOE25'!L254-F19-G19-H19</f>
        <v>9270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489747</v>
      </c>
      <c r="D25" s="243"/>
      <c r="E25" s="243"/>
      <c r="F25" s="253"/>
      <c r="G25" s="251"/>
      <c r="H25" s="251"/>
      <c r="I25" s="252">
        <f>'DOE25'!L261+'DOE25'!L262+'DOE25'!L342+'DOE25'!L343</f>
        <v>489747</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209947</v>
      </c>
      <c r="D29" s="281">
        <f>'DOE25'!L359+'DOE25'!L360+'DOE25'!L361-'DOE25'!I368-F29-G29-H29</f>
        <v>8370</v>
      </c>
      <c r="E29" s="243"/>
      <c r="F29" s="244">
        <f>226577-25000</f>
        <v>201577</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902433</v>
      </c>
      <c r="D31" s="20">
        <f>'DOE25'!L291+'DOE25'!L310+'DOE25'!L329+'DOE25'!L334+'DOE25'!L335+'DOE25'!L336-F31-G31-H31</f>
        <v>784589</v>
      </c>
      <c r="E31" s="243"/>
      <c r="F31" s="244"/>
      <c r="G31" s="53">
        <f>'DOE25'!J291+'DOE25'!J310+'DOE25'!J329+'DOE25'!J334+'DOE25'!J335+'DOE25'!J336</f>
        <v>106088</v>
      </c>
      <c r="H31" s="53">
        <f>'DOE25'!K291+'DOE25'!K310+'DOE25'!K329+'DOE25'!K334+'DOE25'!K335+'DOE25'!K336</f>
        <v>11756</v>
      </c>
      <c r="I31" s="254"/>
    </row>
    <row r="32" spans="1:9" ht="12" thickBot="1" x14ac:dyDescent="0.25">
      <c r="C32" s="274"/>
      <c r="G32" s="249"/>
      <c r="H32" s="249"/>
      <c r="I32" s="256"/>
    </row>
    <row r="33" spans="1:9" ht="12" thickTop="1" x14ac:dyDescent="0.2">
      <c r="B33" t="s">
        <v>809</v>
      </c>
      <c r="D33" s="245">
        <f t="shared" ref="D33:I33" si="1">SUM(D5:D31)</f>
        <v>12317063</v>
      </c>
      <c r="E33" s="245">
        <f t="shared" si="1"/>
        <v>745022</v>
      </c>
      <c r="F33" s="245">
        <f t="shared" si="1"/>
        <v>538303</v>
      </c>
      <c r="G33" s="245">
        <f t="shared" si="1"/>
        <v>312194</v>
      </c>
      <c r="H33" s="245">
        <f t="shared" si="1"/>
        <v>36471</v>
      </c>
      <c r="I33" s="245">
        <f t="shared" si="1"/>
        <v>489747</v>
      </c>
    </row>
    <row r="35" spans="1:9" ht="12" thickBot="1" x14ac:dyDescent="0.25">
      <c r="B35" s="249" t="s">
        <v>831</v>
      </c>
      <c r="D35" s="250">
        <f>E33</f>
        <v>745022</v>
      </c>
      <c r="E35" s="246"/>
      <c r="F35" s="333" t="s">
        <v>1632</v>
      </c>
      <c r="G35" s="334"/>
      <c r="H35" s="334"/>
      <c r="I35" s="334"/>
    </row>
    <row r="36" spans="1:9" ht="12" thickTop="1" x14ac:dyDescent="0.2">
      <c r="B36" t="s">
        <v>810</v>
      </c>
      <c r="D36" s="20">
        <f>D33</f>
        <v>12317063</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1" t="s">
        <v>900</v>
      </c>
      <c r="C53" s="371"/>
      <c r="D53" s="371"/>
      <c r="E53" s="371"/>
      <c r="F53" s="371"/>
      <c r="G53" s="371"/>
      <c r="H53" s="371"/>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HAVERHILL COOPERATIVE SCHOOL DISTRICT</v>
      </c>
      <c r="B2" s="126">
        <f>'DOE25'!B2</f>
        <v>238</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3950036</v>
      </c>
      <c r="G4" s="300">
        <f>'DOE25'!L212+'DOE25'!L291</f>
        <v>3950036</v>
      </c>
      <c r="H4" s="353">
        <f>F4-G4</f>
        <v>0</v>
      </c>
      <c r="I4" s="372" t="str">
        <f>IF(H4=0,"","ISSUES!! Please review page 7 and 11 totals in comparison with total on this page")</f>
        <v/>
      </c>
      <c r="N4"/>
    </row>
    <row r="5" spans="1:18" x14ac:dyDescent="0.2">
      <c r="A5" s="21" t="s">
        <v>1100</v>
      </c>
      <c r="B5" s="301">
        <f>IFERROR(VLOOKUP(A5,'School Tables'!$C$3:$D$365,2,FALSE),"")</f>
        <v>20905</v>
      </c>
      <c r="C5" s="294" t="str">
        <f>IFERROR(INDEX('School Tables'!$B$3:$B$365,MATCH('School Level Expenditures'!B5,'School Tables'!$D$3:$D$365,0)),"")</f>
        <v>Haverhill Cooperative</v>
      </c>
      <c r="D5" s="291">
        <v>3424455</v>
      </c>
      <c r="E5" s="291">
        <v>525581</v>
      </c>
      <c r="F5" s="304">
        <f>D5+E5</f>
        <v>3950036</v>
      </c>
      <c r="G5" s="294"/>
      <c r="H5" s="294"/>
      <c r="I5" s="373"/>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3"/>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3424455</v>
      </c>
      <c r="E21" s="351">
        <f>SUM(E5:E20)</f>
        <v>525581</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4792860</v>
      </c>
      <c r="G24" s="300">
        <f>'DOE25'!L230+'DOE25'!L310</f>
        <v>4792860</v>
      </c>
      <c r="H24" s="353">
        <f>F24-G24</f>
        <v>0</v>
      </c>
      <c r="I24" s="372" t="str">
        <f>IF(H24=0,"","ISSUES!! Please review page 8 and 12 totals in comparison with total on this page")</f>
        <v/>
      </c>
      <c r="N24"/>
    </row>
    <row r="25" spans="1:14" x14ac:dyDescent="0.2">
      <c r="A25" s="21" t="s">
        <v>1102</v>
      </c>
      <c r="B25" s="301">
        <f>IFERROR(VLOOKUP(A25,'School Tables'!$I$3:$J$80,2,FALSE),"")</f>
        <v>26875</v>
      </c>
      <c r="C25" s="294" t="str">
        <f t="array" ref="C25">IFERROR(INDEX('School Tables'!$H$3:$H$80,MATCH('School Level Expenditures'!B25,'School Tables'!$J$3:$J$80,0)),"")</f>
        <v>Haverhill Cooperative</v>
      </c>
      <c r="D25" s="291">
        <v>4577413</v>
      </c>
      <c r="E25" s="291">
        <v>215447</v>
      </c>
      <c r="F25" s="304">
        <f>D25+E25</f>
        <v>4792860</v>
      </c>
      <c r="G25" s="294"/>
      <c r="H25" s="294"/>
      <c r="I25" s="373"/>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3"/>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4577413</v>
      </c>
      <c r="E33" s="351">
        <f>SUM(E25:E32)</f>
        <v>215447</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4972440</v>
      </c>
      <c r="G36" s="300">
        <f>'DOE25'!L248+'DOE25'!L329</f>
        <v>4972440</v>
      </c>
      <c r="H36" s="353">
        <f>F36-G36</f>
        <v>0</v>
      </c>
      <c r="I36" s="372" t="str">
        <f>IF(H36=0,"","ISSUES!! Please review page 9 and 13 totals in comparison with total on this page")</f>
        <v/>
      </c>
      <c r="N36"/>
    </row>
    <row r="37" spans="1:14" x14ac:dyDescent="0.2">
      <c r="A37" s="21" t="s">
        <v>1101</v>
      </c>
      <c r="B37" s="301">
        <f>IFERROR(VLOOKUP(A37,'School Tables'!$O$3:$P$118,2,FALSE),"")</f>
        <v>20910</v>
      </c>
      <c r="C37" s="294" t="str">
        <f t="array" ref="C37">IFERROR(INDEX('School Tables'!$N$3:$N$118,MATCH('School Level Expenditures'!B37,'School Tables'!$P$3:$P$118,0)),"")</f>
        <v>Haverhill Cooperative</v>
      </c>
      <c r="D37" s="291">
        <v>4811035</v>
      </c>
      <c r="E37" s="291">
        <v>161405</v>
      </c>
      <c r="F37" s="304">
        <f t="shared" ref="F37:F42" si="2">D37+E37</f>
        <v>4972440</v>
      </c>
      <c r="G37" s="294"/>
      <c r="H37" s="294"/>
      <c r="I37" s="373"/>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3"/>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4811035</v>
      </c>
      <c r="E43" s="352">
        <f>SUM(E37:E42)</f>
        <v>161405</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1"/>
      <c r="B58" s="371"/>
      <c r="C58" s="371"/>
      <c r="D58" s="371"/>
      <c r="E58" s="371"/>
      <c r="F58" s="371"/>
      <c r="G58" s="371"/>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A38:A42</xm:sqref>
        </x14:dataValidation>
        <x14:dataValidation type="list" allowBlank="1" showInputMessage="1" showErrorMessage="1">
          <x14:formula1>
            <xm:f>'School Tables'!$C$3:$C$325</xm:f>
          </x14:formula1>
          <xm:sqref>A5:A20</xm:sqref>
        </x14:dataValidation>
        <x14:dataValidation type="list" allowBlank="1" showInputMessage="1" showErrorMessage="1">
          <x14:formula1>
            <xm:f>'School Tables'!$O$3:$O$99</xm:f>
          </x14:formula1>
          <xm:sqref>A37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D11" sqref="D11"/>
      <selection pane="bottomLeft" activeCell="D11" sqref="D1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HAVERHILL COOPERATIVE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786583</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909801</v>
      </c>
      <c r="G9" s="95">
        <f>'DOE25'!J10</f>
        <v>1208204</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892684</v>
      </c>
      <c r="D11" s="95">
        <f>'DOE25'!G12</f>
        <v>0</v>
      </c>
      <c r="E11" s="95">
        <f>'DOE25'!H12</f>
        <v>0</v>
      </c>
      <c r="F11" s="95">
        <f>'DOE25'!I12</f>
        <v>0</v>
      </c>
      <c r="G11" s="95">
        <f>'DOE25'!J12</f>
        <v>0</v>
      </c>
      <c r="H11" s="124"/>
      <c r="I11" s="124"/>
    </row>
    <row r="12" spans="1:9" x14ac:dyDescent="0.2">
      <c r="A12" s="1" t="s">
        <v>143</v>
      </c>
      <c r="B12" s="6">
        <v>140</v>
      </c>
      <c r="C12" s="95">
        <f>'DOE25'!F13</f>
        <v>187009</v>
      </c>
      <c r="D12" s="95">
        <f>'DOE25'!G13</f>
        <v>49828</v>
      </c>
      <c r="E12" s="95">
        <f>'DOE25'!H13</f>
        <v>145745</v>
      </c>
      <c r="F12" s="95">
        <f>'DOE25'!I13</f>
        <v>0</v>
      </c>
      <c r="G12" s="95">
        <f>'DOE25'!J13</f>
        <v>0</v>
      </c>
      <c r="H12" s="124"/>
      <c r="I12" s="124"/>
    </row>
    <row r="13" spans="1:9" x14ac:dyDescent="0.2">
      <c r="A13" s="1" t="s">
        <v>144</v>
      </c>
      <c r="B13" s="6">
        <v>150</v>
      </c>
      <c r="C13" s="95">
        <f>'DOE25'!F14</f>
        <v>38586</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236859</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2141721</v>
      </c>
      <c r="D18" s="41">
        <f>SUM(D8:D17)</f>
        <v>49828</v>
      </c>
      <c r="E18" s="41">
        <f>SUM(E8:E17)</f>
        <v>145745</v>
      </c>
      <c r="F18" s="41">
        <f>SUM(F8:F17)</f>
        <v>909801</v>
      </c>
      <c r="G18" s="41">
        <f>SUM(G8:G17)</f>
        <v>1208204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38341</v>
      </c>
      <c r="E21" s="95">
        <f>'DOE25'!H22</f>
        <v>61303</v>
      </c>
      <c r="F21" s="95">
        <f>'DOE25'!I22</f>
        <v>793040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221325</v>
      </c>
      <c r="D23" s="95">
        <f>'DOE25'!G24</f>
        <v>11487</v>
      </c>
      <c r="E23" s="95">
        <f>'DOE25'!H24</f>
        <v>24578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2194</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59839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223519</v>
      </c>
      <c r="D31" s="41">
        <f>SUM(D21:D30)</f>
        <v>49828</v>
      </c>
      <c r="E31" s="41">
        <f>SUM(E21:E30)</f>
        <v>145720</v>
      </c>
      <c r="F31" s="41">
        <f>SUM(F21:F30)</f>
        <v>793040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236859</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196250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161146</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716898</v>
      </c>
      <c r="D47" s="95">
        <f>'DOE25'!G48</f>
        <v>0</v>
      </c>
      <c r="E47" s="95">
        <f>'DOE25'!H48</f>
        <v>25</v>
      </c>
      <c r="F47" s="95">
        <f>'DOE25'!I48</f>
        <v>116761</v>
      </c>
      <c r="G47" s="95">
        <f>'DOE25'!J48</f>
        <v>1208204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607049</v>
      </c>
      <c r="D49" s="24" t="s">
        <v>288</v>
      </c>
      <c r="E49" s="24" t="s">
        <v>288</v>
      </c>
      <c r="F49" s="24" t="s">
        <v>288</v>
      </c>
      <c r="G49" s="24" t="s">
        <v>288</v>
      </c>
      <c r="H49" s="124"/>
      <c r="I49" s="124"/>
    </row>
    <row r="50" spans="1:9" ht="12.75" thickTop="1" thickBot="1" x14ac:dyDescent="0.25">
      <c r="A50" s="38" t="s">
        <v>884</v>
      </c>
      <c r="B50" s="48"/>
      <c r="C50" s="41">
        <f>SUM(C34:C49)</f>
        <v>1918202</v>
      </c>
      <c r="D50" s="41">
        <f>SUM(D34:D49)</f>
        <v>0</v>
      </c>
      <c r="E50" s="41">
        <f>SUM(E34:E49)</f>
        <v>25</v>
      </c>
      <c r="F50" s="41">
        <f>SUM(F34:F49)</f>
        <v>116761</v>
      </c>
      <c r="G50" s="41">
        <f>SUM(G34:G49)</f>
        <v>1208204</v>
      </c>
      <c r="H50" s="124"/>
      <c r="I50" s="124"/>
    </row>
    <row r="51" spans="1:9" ht="12" thickTop="1" x14ac:dyDescent="0.2">
      <c r="A51" s="38" t="s">
        <v>885</v>
      </c>
      <c r="B51" s="2"/>
      <c r="C51" s="41">
        <f>C50+C31</f>
        <v>2141721</v>
      </c>
      <c r="D51" s="41">
        <f>D50+D31</f>
        <v>49828</v>
      </c>
      <c r="E51" s="41">
        <f>E50+E31</f>
        <v>145745</v>
      </c>
      <c r="F51" s="41">
        <f>F50+F31</f>
        <v>909801</v>
      </c>
      <c r="G51" s="41">
        <f>G50+G31</f>
        <v>1208204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5802235</v>
      </c>
      <c r="D56" s="95">
        <f>'DOE25'!G60</f>
        <v>0</v>
      </c>
      <c r="E56" s="95">
        <f>'DOE25'!H60</f>
        <v>0</v>
      </c>
      <c r="F56" s="95">
        <f>'DOE25'!I60</f>
        <v>0</v>
      </c>
      <c r="G56" s="95">
        <f>'DOE25'!J60</f>
        <v>0</v>
      </c>
      <c r="H56"/>
      <c r="I56"/>
    </row>
    <row r="57" spans="1:9" x14ac:dyDescent="0.2">
      <c r="A57" s="1" t="s">
        <v>164</v>
      </c>
      <c r="B57" s="6" t="s">
        <v>165</v>
      </c>
      <c r="C57" s="95">
        <f>'DOE25'!F79</f>
        <v>1364077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46995</v>
      </c>
      <c r="D59" s="95">
        <f>'DOE25'!G96</f>
        <v>0</v>
      </c>
      <c r="E59" s="95">
        <f>'DOE25'!H96</f>
        <v>0</v>
      </c>
      <c r="F59" s="95">
        <f>'DOE25'!I96</f>
        <v>12588</v>
      </c>
      <c r="G59" s="95">
        <f>'DOE25'!J96</f>
        <v>0</v>
      </c>
      <c r="H59"/>
      <c r="I59"/>
    </row>
    <row r="60" spans="1:9" x14ac:dyDescent="0.2">
      <c r="A60" s="1" t="s">
        <v>170</v>
      </c>
      <c r="B60" s="118" t="s">
        <v>171</v>
      </c>
      <c r="C60" s="24" t="s">
        <v>288</v>
      </c>
      <c r="D60" s="95">
        <f>'DOE25'!G97</f>
        <v>2371</v>
      </c>
      <c r="E60" s="24" t="s">
        <v>288</v>
      </c>
      <c r="F60" s="24" t="s">
        <v>288</v>
      </c>
      <c r="G60" s="24" t="s">
        <v>288</v>
      </c>
      <c r="H60"/>
      <c r="I60"/>
    </row>
    <row r="61" spans="1:9" ht="12" thickBot="1" x14ac:dyDescent="0.25">
      <c r="A61" s="1" t="s">
        <v>172</v>
      </c>
      <c r="B61" s="118" t="s">
        <v>173</v>
      </c>
      <c r="C61" s="95">
        <f>SUM('DOE25'!F98:F110)</f>
        <v>110769</v>
      </c>
      <c r="D61" s="95">
        <f>SUM('DOE25'!G98:G110)</f>
        <v>417</v>
      </c>
      <c r="E61" s="95">
        <f>SUM('DOE25'!H98:H110)</f>
        <v>19625</v>
      </c>
      <c r="F61" s="95">
        <f>SUM('DOE25'!I98:I110)</f>
        <v>0</v>
      </c>
      <c r="G61" s="95">
        <f>SUM('DOE25'!J98:J110)</f>
        <v>593750</v>
      </c>
      <c r="H61"/>
      <c r="I61"/>
    </row>
    <row r="62" spans="1:9" ht="12.75" thickTop="1" thickBot="1" x14ac:dyDescent="0.25">
      <c r="A62" s="29" t="s">
        <v>174</v>
      </c>
      <c r="B62" s="6"/>
      <c r="C62" s="130">
        <f>SUM(C57:C61)</f>
        <v>1521841</v>
      </c>
      <c r="D62" s="130">
        <f>SUM(D57:D61)</f>
        <v>2788</v>
      </c>
      <c r="E62" s="130">
        <f>SUM(E57:E61)</f>
        <v>19625</v>
      </c>
      <c r="F62" s="130">
        <f>SUM(F57:F61)</f>
        <v>12588</v>
      </c>
      <c r="G62" s="130">
        <f>SUM(G57:G61)</f>
        <v>593750</v>
      </c>
      <c r="H62"/>
      <c r="I62"/>
    </row>
    <row r="63" spans="1:9" ht="12" thickTop="1" x14ac:dyDescent="0.2">
      <c r="A63" s="29" t="s">
        <v>175</v>
      </c>
      <c r="B63" s="6"/>
      <c r="C63" s="22">
        <f>C56+C62</f>
        <v>7324076</v>
      </c>
      <c r="D63" s="22">
        <f>D56+D62</f>
        <v>2788</v>
      </c>
      <c r="E63" s="22">
        <f>E56+E62</f>
        <v>19625</v>
      </c>
      <c r="F63" s="22">
        <f>F56+F62</f>
        <v>12588</v>
      </c>
      <c r="G63" s="22">
        <f>G56+G62</f>
        <v>593750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4855560</v>
      </c>
      <c r="D66" s="24" t="s">
        <v>288</v>
      </c>
      <c r="E66" s="24" t="s">
        <v>288</v>
      </c>
      <c r="F66" s="24" t="s">
        <v>288</v>
      </c>
      <c r="G66" s="24" t="s">
        <v>288</v>
      </c>
      <c r="H66"/>
      <c r="I66"/>
    </row>
    <row r="67" spans="1:9" x14ac:dyDescent="0.2">
      <c r="A67" s="1" t="s">
        <v>770</v>
      </c>
      <c r="B67" s="6">
        <v>3112</v>
      </c>
      <c r="C67" s="95">
        <f>'DOE25'!F118</f>
        <v>643608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5499168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141091</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57274</v>
      </c>
      <c r="D75" s="24" t="s">
        <v>288</v>
      </c>
      <c r="E75" s="24" t="s">
        <v>288</v>
      </c>
      <c r="F75" s="24" t="s">
        <v>288</v>
      </c>
      <c r="G75" s="24" t="s">
        <v>288</v>
      </c>
      <c r="H75"/>
      <c r="I75"/>
    </row>
    <row r="76" spans="1:9" x14ac:dyDescent="0.2">
      <c r="A76" s="1" t="s">
        <v>257</v>
      </c>
      <c r="B76" s="6" t="s">
        <v>179</v>
      </c>
      <c r="C76" s="95">
        <f>SUM('DOE25'!F127:F130)</f>
        <v>96786</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4163</v>
      </c>
      <c r="E77" s="95">
        <f>SUM('DOE25'!H131:H135)</f>
        <v>0</v>
      </c>
      <c r="F77" s="95">
        <f>SUM('DOE25'!I131:I135)</f>
        <v>0</v>
      </c>
      <c r="G77" s="95">
        <f>SUM('DOE25'!J131:J135)</f>
        <v>0</v>
      </c>
      <c r="H77"/>
      <c r="I77"/>
    </row>
    <row r="78" spans="1:9" ht="12.75" thickTop="1" thickBot="1" x14ac:dyDescent="0.25">
      <c r="A78" s="29" t="s">
        <v>259</v>
      </c>
      <c r="B78" s="6"/>
      <c r="C78" s="130">
        <f>SUM(C72:C77)</f>
        <v>295151</v>
      </c>
      <c r="D78" s="130">
        <f>SUM(D72:D77)</f>
        <v>4163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5794319</v>
      </c>
      <c r="D81" s="130">
        <f>SUM(D79:D80)+D78+D70</f>
        <v>4163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64637</v>
      </c>
      <c r="D88" s="331">
        <f>SUM('DOE25'!G153:G162)</f>
        <v>178771</v>
      </c>
      <c r="E88" s="331">
        <f>SUM('DOE25'!H153:H162)</f>
        <v>872836</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1305</v>
      </c>
      <c r="D90" s="24" t="s">
        <v>288</v>
      </c>
      <c r="E90" s="24" t="s">
        <v>288</v>
      </c>
      <c r="F90" s="24" t="s">
        <v>288</v>
      </c>
      <c r="G90" s="24" t="s">
        <v>288</v>
      </c>
    </row>
    <row r="91" spans="1:9" ht="12.75" thickTop="1" thickBot="1" x14ac:dyDescent="0.25">
      <c r="A91" s="33" t="s">
        <v>750</v>
      </c>
      <c r="C91" s="131">
        <f>SUM(C85:C90)</f>
        <v>65942</v>
      </c>
      <c r="D91" s="131">
        <f>SUM(D85:D90)</f>
        <v>178771</v>
      </c>
      <c r="E91" s="131">
        <f>SUM(E85:E90)</f>
        <v>872836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24225</v>
      </c>
      <c r="E96" s="95">
        <f>'DOE25'!H180</f>
        <v>0</v>
      </c>
      <c r="F96" s="95">
        <f>'DOE25'!I180</f>
        <v>0</v>
      </c>
      <c r="G96" s="95">
        <f>'DOE25'!J180</f>
        <v>120000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24225</v>
      </c>
      <c r="E103" s="86">
        <f>SUM(E93:E102)</f>
        <v>0</v>
      </c>
      <c r="F103" s="86">
        <f>SUM(F93:F102)</f>
        <v>0</v>
      </c>
      <c r="G103" s="86">
        <f>SUM(G93:G102)</f>
        <v>120000</v>
      </c>
    </row>
    <row r="104" spans="1:7" ht="12.75" thickTop="1" thickBot="1" x14ac:dyDescent="0.25">
      <c r="A104" s="33" t="s">
        <v>761</v>
      </c>
      <c r="C104" s="86">
        <f>C63+C81+C91+C103</f>
        <v>13184337</v>
      </c>
      <c r="D104" s="86">
        <f>D63+D81+D91+D103</f>
        <v>209947</v>
      </c>
      <c r="E104" s="86">
        <f>E63+E81+E91+E103</f>
        <v>892461</v>
      </c>
      <c r="F104" s="86">
        <f>F63+F81+F91+F103</f>
        <v>12588</v>
      </c>
      <c r="G104" s="86">
        <f>G63+G81+G103</f>
        <v>713750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4727657</v>
      </c>
      <c r="D109" s="24" t="s">
        <v>288</v>
      </c>
      <c r="E109" s="95">
        <f>('DOE25'!L277)+('DOE25'!L296)+('DOE25'!L315)</f>
        <v>293034</v>
      </c>
      <c r="F109" s="24" t="s">
        <v>288</v>
      </c>
      <c r="G109" s="24" t="s">
        <v>288</v>
      </c>
    </row>
    <row r="110" spans="1:7" x14ac:dyDescent="0.2">
      <c r="A110" t="s">
        <v>198</v>
      </c>
      <c r="B110" s="32" t="s">
        <v>199</v>
      </c>
      <c r="C110" s="95">
        <f>('DOE25'!L199)+('DOE25'!L217)+('DOE25'!L235)</f>
        <v>2426388</v>
      </c>
      <c r="D110" s="24" t="s">
        <v>288</v>
      </c>
      <c r="E110" s="95">
        <f>('DOE25'!L278)+('DOE25'!L297)+('DOE25'!L316)</f>
        <v>77385</v>
      </c>
      <c r="F110" s="24" t="s">
        <v>288</v>
      </c>
      <c r="G110" s="24" t="s">
        <v>288</v>
      </c>
    </row>
    <row r="111" spans="1:7" x14ac:dyDescent="0.2">
      <c r="A111" t="s">
        <v>200</v>
      </c>
      <c r="B111" s="32" t="s">
        <v>165</v>
      </c>
      <c r="C111" s="95">
        <f>('DOE25'!L200)+('DOE25'!L218)+('DOE25'!L236)</f>
        <v>323475</v>
      </c>
      <c r="D111" s="24" t="s">
        <v>288</v>
      </c>
      <c r="E111" s="95">
        <f>('DOE25'!L279)+('DOE25'!L298)+('DOE25'!L317)</f>
        <v>0</v>
      </c>
      <c r="F111" s="24" t="s">
        <v>288</v>
      </c>
      <c r="G111" s="24" t="s">
        <v>288</v>
      </c>
    </row>
    <row r="112" spans="1:7" x14ac:dyDescent="0.2">
      <c r="A112" t="s">
        <v>201</v>
      </c>
      <c r="B112" s="32" t="s">
        <v>167</v>
      </c>
      <c r="C112" s="95">
        <f>('DOE25'!L201)+('DOE25'!L219)+('DOE25'!L237)</f>
        <v>263798</v>
      </c>
      <c r="D112" s="24" t="s">
        <v>288</v>
      </c>
      <c r="E112" s="95">
        <f>+('DOE25'!L280)+('DOE25'!L299)+('DOE25'!L318)</f>
        <v>17882</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9270</v>
      </c>
      <c r="D114" s="24" t="s">
        <v>288</v>
      </c>
      <c r="E114" s="95">
        <f>+ SUM('DOE25'!L334:L336)</f>
        <v>0</v>
      </c>
      <c r="F114" s="24" t="s">
        <v>288</v>
      </c>
      <c r="G114" s="24" t="s">
        <v>288</v>
      </c>
    </row>
    <row r="115" spans="1:7" ht="12.75" thickTop="1" thickBot="1" x14ac:dyDescent="0.25">
      <c r="A115" s="33" t="s">
        <v>205</v>
      </c>
      <c r="C115" s="86">
        <f>SUM(C109:C114)</f>
        <v>7750588</v>
      </c>
      <c r="D115" s="86">
        <f>SUM(D109:D114)</f>
        <v>0</v>
      </c>
      <c r="E115" s="86">
        <f>SUM(E109:E114)</f>
        <v>388301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960329</v>
      </c>
      <c r="D118" s="24" t="s">
        <v>288</v>
      </c>
      <c r="E118" s="95">
        <f>+('DOE25'!L282)+('DOE25'!L301)+('DOE25'!L320)</f>
        <v>184665</v>
      </c>
      <c r="F118" s="24" t="s">
        <v>288</v>
      </c>
      <c r="G118" s="24" t="s">
        <v>288</v>
      </c>
    </row>
    <row r="119" spans="1:7" x14ac:dyDescent="0.2">
      <c r="A119" t="s">
        <v>208</v>
      </c>
      <c r="B119" s="32" t="s">
        <v>209</v>
      </c>
      <c r="C119" s="95">
        <f>('DOE25'!L204)+('DOE25'!L222)+('DOE25'!L240)</f>
        <v>575150</v>
      </c>
      <c r="D119" s="24" t="s">
        <v>288</v>
      </c>
      <c r="E119" s="95">
        <f>+('DOE25'!L283)+('DOE25'!L302)+('DOE25'!L321)</f>
        <v>187908</v>
      </c>
      <c r="F119" s="24" t="s">
        <v>288</v>
      </c>
      <c r="G119" s="24" t="s">
        <v>288</v>
      </c>
    </row>
    <row r="120" spans="1:7" x14ac:dyDescent="0.2">
      <c r="A120" t="s">
        <v>210</v>
      </c>
      <c r="B120" s="32" t="s">
        <v>211</v>
      </c>
      <c r="C120" s="95">
        <f>('DOE25'!L205)+('DOE25'!L223)+('DOE25'!L241)</f>
        <v>878565</v>
      </c>
      <c r="D120" s="24" t="s">
        <v>288</v>
      </c>
      <c r="E120" s="95">
        <f>+('DOE25'!L284)+('DOE25'!L303)+('DOE25'!L322)</f>
        <v>6321</v>
      </c>
      <c r="F120" s="24" t="s">
        <v>288</v>
      </c>
      <c r="G120" s="24" t="s">
        <v>288</v>
      </c>
    </row>
    <row r="121" spans="1:7" x14ac:dyDescent="0.2">
      <c r="A121" t="s">
        <v>212</v>
      </c>
      <c r="B121" s="32" t="s">
        <v>213</v>
      </c>
      <c r="C121" s="95">
        <f>('DOE25'!L206)+('DOE25'!L224)+('DOE25'!L242)</f>
        <v>928958</v>
      </c>
      <c r="D121" s="24" t="s">
        <v>288</v>
      </c>
      <c r="E121" s="95">
        <f>+('DOE25'!L285)+('DOE25'!L304)+('DOE25'!L323)</f>
        <v>64127</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1165173</v>
      </c>
      <c r="D123" s="24" t="s">
        <v>288</v>
      </c>
      <c r="E123" s="95">
        <f>+('DOE25'!L287)+('DOE25'!L306)+('DOE25'!L325)</f>
        <v>58905</v>
      </c>
      <c r="F123" s="24" t="s">
        <v>288</v>
      </c>
      <c r="G123" s="24" t="s">
        <v>288</v>
      </c>
    </row>
    <row r="124" spans="1:7" x14ac:dyDescent="0.2">
      <c r="A124" t="s">
        <v>218</v>
      </c>
      <c r="B124" s="32" t="s">
        <v>219</v>
      </c>
      <c r="C124" s="95">
        <f>('DOE25'!L209)+('DOE25'!L227)+('DOE25'!L245+'DOE25'!L255)</f>
        <v>502484</v>
      </c>
      <c r="D124" s="24" t="s">
        <v>288</v>
      </c>
      <c r="E124" s="95">
        <f>+('DOE25'!L288)+('DOE25'!L307)+('DOE25'!L326)</f>
        <v>3320</v>
      </c>
      <c r="F124" s="24" t="s">
        <v>288</v>
      </c>
      <c r="G124" s="24" t="s">
        <v>288</v>
      </c>
    </row>
    <row r="125" spans="1:7" x14ac:dyDescent="0.2">
      <c r="A125" t="s">
        <v>220</v>
      </c>
      <c r="B125" s="32" t="s">
        <v>221</v>
      </c>
      <c r="C125" s="95">
        <f>('DOE25'!L210)+('DOE25'!L228)+('DOE25'!L246)</f>
        <v>60926</v>
      </c>
      <c r="D125" s="24" t="s">
        <v>288</v>
      </c>
      <c r="E125" s="95">
        <f>+('DOE25'!L289)+('DOE25'!L308)+('DOE25'!L327)</f>
        <v>8886</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209947</v>
      </c>
      <c r="E127" s="24" t="s">
        <v>288</v>
      </c>
      <c r="F127" s="24" t="s">
        <v>288</v>
      </c>
      <c r="G127" s="24" t="s">
        <v>288</v>
      </c>
    </row>
    <row r="128" spans="1:7" ht="12.75" thickTop="1" thickBot="1" x14ac:dyDescent="0.25">
      <c r="A128" s="33" t="s">
        <v>226</v>
      </c>
      <c r="C128" s="86">
        <f>SUM(C118:C127)</f>
        <v>5071585</v>
      </c>
      <c r="D128" s="86">
        <f>SUM(D118:D127)</f>
        <v>209947</v>
      </c>
      <c r="E128" s="86">
        <f>SUM(E118:E127)</f>
        <v>514132</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349333</v>
      </c>
      <c r="D131" s="24" t="s">
        <v>288</v>
      </c>
      <c r="E131" s="129">
        <f>'DOE25'!L342</f>
        <v>0</v>
      </c>
      <c r="F131" s="24" t="s">
        <v>288</v>
      </c>
      <c r="G131" s="24" t="s">
        <v>288</v>
      </c>
    </row>
    <row r="132" spans="1:7" x14ac:dyDescent="0.2">
      <c r="A132" t="s">
        <v>230</v>
      </c>
      <c r="B132" s="32">
        <v>5120</v>
      </c>
      <c r="C132" s="95">
        <f>'DOE25'!L262</f>
        <v>140414</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856</v>
      </c>
    </row>
    <row r="135" spans="1:7" x14ac:dyDescent="0.2">
      <c r="A135" t="s">
        <v>233</v>
      </c>
      <c r="B135" s="32" t="s">
        <v>234</v>
      </c>
      <c r="C135" s="95">
        <f>'DOE25'!L264</f>
        <v>24225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5000</v>
      </c>
      <c r="D138" s="24" t="s">
        <v>288</v>
      </c>
      <c r="E138" s="24" t="s">
        <v>288</v>
      </c>
      <c r="F138" s="24" t="s">
        <v>288</v>
      </c>
      <c r="G138" s="24" t="s">
        <v>288</v>
      </c>
    </row>
    <row r="139" spans="1:7" x14ac:dyDescent="0.2">
      <c r="A139" t="s">
        <v>239</v>
      </c>
      <c r="B139" s="32">
        <v>5252</v>
      </c>
      <c r="C139" s="95">
        <f>'DOE25'!L402</f>
        <v>708750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-593750</v>
      </c>
      <c r="D141" s="24" t="s">
        <v>288</v>
      </c>
      <c r="E141" s="24" t="s">
        <v>288</v>
      </c>
      <c r="F141" s="24" t="s">
        <v>288</v>
      </c>
      <c r="G141" s="24" t="s">
        <v>288</v>
      </c>
    </row>
    <row r="142" spans="1:7" x14ac:dyDescent="0.2">
      <c r="A142" t="s">
        <v>241</v>
      </c>
      <c r="B142" s="32">
        <v>5310</v>
      </c>
      <c r="C142" s="129">
        <f>'DOE25'!L269</f>
        <v>12230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646202</v>
      </c>
      <c r="D144" s="141">
        <f>SUM(D130:D143)</f>
        <v>0</v>
      </c>
      <c r="E144" s="141">
        <f>SUM(E130:E143)</f>
        <v>0</v>
      </c>
      <c r="F144" s="141">
        <f>SUM(F130:F143)</f>
        <v>0</v>
      </c>
      <c r="G144" s="141">
        <f>SUM(G130:G143)</f>
        <v>856</v>
      </c>
    </row>
    <row r="145" spans="1:9" ht="12.75" thickTop="1" thickBot="1" x14ac:dyDescent="0.25">
      <c r="A145" s="33" t="s">
        <v>244</v>
      </c>
      <c r="C145" s="86">
        <f>(C115+C128+C144)</f>
        <v>13468375</v>
      </c>
      <c r="D145" s="86">
        <f>(D115+D128+D144)</f>
        <v>209947</v>
      </c>
      <c r="E145" s="86">
        <f>(E115+E128+E144)</f>
        <v>902433</v>
      </c>
      <c r="F145" s="86">
        <f>(F115+F128+F144)</f>
        <v>0</v>
      </c>
      <c r="G145" s="86">
        <f>(G115+G128+G144)</f>
        <v>856</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15</v>
      </c>
      <c r="C151" s="153">
        <f>'DOE25'!G491</f>
        <v>14</v>
      </c>
      <c r="D151" s="153">
        <f>'DOE25'!H491</f>
        <v>20</v>
      </c>
      <c r="E151" s="153">
        <f>'DOE25'!I491</f>
        <v>0</v>
      </c>
      <c r="F151" s="153">
        <f>'DOE25'!J491</f>
        <v>0</v>
      </c>
      <c r="G151" s="24" t="s">
        <v>288</v>
      </c>
    </row>
    <row r="152" spans="1:9" x14ac:dyDescent="0.2">
      <c r="A152" s="136" t="s">
        <v>28</v>
      </c>
      <c r="B152" s="152" t="str">
        <f>'DOE25'!F492</f>
        <v>7/6/2005</v>
      </c>
      <c r="C152" s="152" t="str">
        <f>'DOE25'!G492</f>
        <v>11/2008</v>
      </c>
      <c r="D152" s="152" t="str">
        <f>'DOE25'!H492</f>
        <v>6/2018</v>
      </c>
      <c r="E152" s="152">
        <f>'DOE25'!I492</f>
        <v>0</v>
      </c>
      <c r="F152" s="152">
        <f>'DOE25'!J492</f>
        <v>0</v>
      </c>
      <c r="G152" s="24" t="s">
        <v>288</v>
      </c>
    </row>
    <row r="153" spans="1:9" x14ac:dyDescent="0.2">
      <c r="A153" s="136" t="s">
        <v>29</v>
      </c>
      <c r="B153" s="152" t="str">
        <f>'DOE25'!F493</f>
        <v>7/5/2021</v>
      </c>
      <c r="C153" s="152" t="str">
        <f>'DOE25'!G493</f>
        <v>11/2022</v>
      </c>
      <c r="D153" s="152" t="str">
        <f>'DOE25'!H493</f>
        <v>8/2038</v>
      </c>
      <c r="E153" s="152">
        <f>'DOE25'!I493</f>
        <v>0</v>
      </c>
      <c r="F153" s="152">
        <f>'DOE25'!J493</f>
        <v>0</v>
      </c>
      <c r="G153" s="24" t="s">
        <v>288</v>
      </c>
    </row>
    <row r="154" spans="1:9" x14ac:dyDescent="0.2">
      <c r="A154" s="136" t="s">
        <v>30</v>
      </c>
      <c r="B154" s="137">
        <f>'DOE25'!F494</f>
        <v>1694000</v>
      </c>
      <c r="C154" s="137">
        <f>'DOE25'!G494</f>
        <v>1498000</v>
      </c>
      <c r="D154" s="137">
        <f>'DOE25'!H494</f>
        <v>3541950</v>
      </c>
      <c r="E154" s="137">
        <f>'DOE25'!I494</f>
        <v>0</v>
      </c>
      <c r="F154" s="137">
        <f>'DOE25'!J494</f>
        <v>0</v>
      </c>
      <c r="G154" s="24" t="s">
        <v>288</v>
      </c>
    </row>
    <row r="155" spans="1:9" x14ac:dyDescent="0.2">
      <c r="A155" s="136" t="s">
        <v>31</v>
      </c>
      <c r="B155" s="137">
        <f>'DOE25'!F495</f>
        <v>0</v>
      </c>
      <c r="C155" s="137">
        <f>'DOE25'!G495</f>
        <v>0</v>
      </c>
      <c r="D155" s="137">
        <f>'DOE25'!H495</f>
        <v>3.34</v>
      </c>
      <c r="E155" s="137">
        <f>'DOE25'!I495</f>
        <v>0</v>
      </c>
      <c r="F155" s="137">
        <f>'DOE25'!J495</f>
        <v>0</v>
      </c>
      <c r="G155" s="24" t="s">
        <v>288</v>
      </c>
    </row>
    <row r="156" spans="1:9" x14ac:dyDescent="0.2">
      <c r="A156" s="22" t="s">
        <v>32</v>
      </c>
      <c r="B156" s="137">
        <f>'DOE25'!F496</f>
        <v>155866.70999999996</v>
      </c>
      <c r="C156" s="137">
        <f>'DOE25'!G496</f>
        <v>321000</v>
      </c>
      <c r="D156" s="137">
        <f>'DOE25'!H496</f>
        <v>3430000</v>
      </c>
      <c r="E156" s="137">
        <f>'DOE25'!I496</f>
        <v>0</v>
      </c>
      <c r="F156" s="137">
        <f>'DOE25'!J496</f>
        <v>0</v>
      </c>
      <c r="G156" s="138">
        <f>SUM(B156:F156)</f>
        <v>3906866.71</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112933.33</v>
      </c>
      <c r="C158" s="137">
        <f>'DOE25'!G498</f>
        <v>107000</v>
      </c>
      <c r="D158" s="137">
        <f>'DOE25'!H498</f>
        <v>115000</v>
      </c>
      <c r="E158" s="137">
        <f>'DOE25'!I498</f>
        <v>0</v>
      </c>
      <c r="F158" s="137">
        <f>'DOE25'!J498</f>
        <v>0</v>
      </c>
      <c r="G158" s="138">
        <f t="shared" si="0"/>
        <v>334933.33</v>
      </c>
    </row>
    <row r="159" spans="1:9" x14ac:dyDescent="0.2">
      <c r="A159" s="22" t="s">
        <v>35</v>
      </c>
      <c r="B159" s="137">
        <f>'DOE25'!F499</f>
        <v>42933.379999999961</v>
      </c>
      <c r="C159" s="137">
        <f>'DOE25'!G499</f>
        <v>214000</v>
      </c>
      <c r="D159" s="137">
        <f>'DOE25'!H499</f>
        <v>3315000</v>
      </c>
      <c r="E159" s="137">
        <f>'DOE25'!I499</f>
        <v>0</v>
      </c>
      <c r="F159" s="137">
        <f>'DOE25'!J499</f>
        <v>0</v>
      </c>
      <c r="G159" s="138">
        <f t="shared" si="0"/>
        <v>3571933.38</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42933.379999999961</v>
      </c>
      <c r="C161" s="137">
        <f>'DOE25'!G501</f>
        <v>214000</v>
      </c>
      <c r="D161" s="137">
        <f>'DOE25'!H501</f>
        <v>3315000</v>
      </c>
      <c r="E161" s="137">
        <f>'DOE25'!I501</f>
        <v>0</v>
      </c>
      <c r="F161" s="137">
        <f>'DOE25'!J501</f>
        <v>0</v>
      </c>
      <c r="G161" s="138">
        <f t="shared" si="0"/>
        <v>3571933.38</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D11" sqref="D11"/>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HAVERHILL COOPERATIVE SCHOOL DISTRICT</v>
      </c>
    </row>
    <row r="3" spans="1:4" x14ac:dyDescent="0.2">
      <c r="B3" s="188" t="s">
        <v>1666</v>
      </c>
    </row>
    <row r="4" spans="1:4" x14ac:dyDescent="0.2">
      <c r="B4" t="s">
        <v>61</v>
      </c>
      <c r="C4" s="179">
        <f>IF('DOE25'!F666+'DOE25'!F671=0,0,ROUND('DOE25'!F673,0))</f>
        <v>21303</v>
      </c>
    </row>
    <row r="5" spans="1:4" x14ac:dyDescent="0.2">
      <c r="B5" t="s">
        <v>700</v>
      </c>
      <c r="C5" s="179">
        <f>IF('DOE25'!G666+'DOE25'!G671=0,0,ROUND('DOE25'!G673,0))</f>
        <v>18520</v>
      </c>
    </row>
    <row r="6" spans="1:4" x14ac:dyDescent="0.2">
      <c r="B6" t="s">
        <v>62</v>
      </c>
      <c r="C6" s="179">
        <f>IF('DOE25'!H666+'DOE25'!H671=0,0,ROUND('DOE25'!H673,0))</f>
        <v>20418</v>
      </c>
    </row>
    <row r="7" spans="1:4" x14ac:dyDescent="0.2">
      <c r="B7" t="s">
        <v>701</v>
      </c>
      <c r="C7" s="179">
        <f>IF('DOE25'!I666+'DOE25'!I671=0,0,ROUND('DOE25'!I673,0))</f>
        <v>19944</v>
      </c>
    </row>
    <row r="9" spans="1:4" x14ac:dyDescent="0.2">
      <c r="A9" s="187" t="s">
        <v>94</v>
      </c>
      <c r="B9" s="188" t="s">
        <v>1671</v>
      </c>
      <c r="C9" s="181" t="s">
        <v>720</v>
      </c>
      <c r="D9" s="181" t="s">
        <v>721</v>
      </c>
    </row>
    <row r="10" spans="1:4" x14ac:dyDescent="0.2">
      <c r="A10">
        <v>1100</v>
      </c>
      <c r="B10" t="s">
        <v>702</v>
      </c>
      <c r="C10" s="179">
        <f>ROUND('DOE25'!L198+'DOE25'!L216+'DOE25'!L234+'DOE25'!L277+'DOE25'!L296+'DOE25'!L315,0)</f>
        <v>5020691</v>
      </c>
      <c r="D10" s="182">
        <f>ROUND((C10/$C$28)*100,1)</f>
        <v>35.6</v>
      </c>
    </row>
    <row r="11" spans="1:4" x14ac:dyDescent="0.2">
      <c r="A11">
        <v>1200</v>
      </c>
      <c r="B11" t="s">
        <v>703</v>
      </c>
      <c r="C11" s="179">
        <f>ROUND('DOE25'!L199+'DOE25'!L217+'DOE25'!L235+'DOE25'!L278+'DOE25'!L297+'DOE25'!L316,0)</f>
        <v>2503773</v>
      </c>
      <c r="D11" s="182">
        <f>ROUND((C11/$C$28)*100,1)</f>
        <v>17.8</v>
      </c>
    </row>
    <row r="12" spans="1:4" x14ac:dyDescent="0.2">
      <c r="A12">
        <v>1300</v>
      </c>
      <c r="B12" t="s">
        <v>704</v>
      </c>
      <c r="C12" s="179">
        <f>ROUND('DOE25'!L200+'DOE25'!L218+'DOE25'!L236+'DOE25'!L279+'DOE25'!L298+'DOE25'!L317,0)</f>
        <v>323475</v>
      </c>
      <c r="D12" s="182">
        <f>ROUND((C12/$C$28)*100,1)</f>
        <v>2.2999999999999998</v>
      </c>
    </row>
    <row r="13" spans="1:4" x14ac:dyDescent="0.2">
      <c r="A13">
        <v>1400</v>
      </c>
      <c r="B13" t="s">
        <v>705</v>
      </c>
      <c r="C13" s="179">
        <f>ROUND('DOE25'!L201+'DOE25'!L219+'DOE25'!L237+'DOE25'!L280+'DOE25'!L299+'DOE25'!L318,0)</f>
        <v>281680</v>
      </c>
      <c r="D13" s="182">
        <f>ROUND((C13/$C$28)*100,1)</f>
        <v>2</v>
      </c>
    </row>
    <row r="14" spans="1:4" x14ac:dyDescent="0.2">
      <c r="D14" s="182"/>
    </row>
    <row r="15" spans="1:4" x14ac:dyDescent="0.2">
      <c r="A15">
        <v>2100</v>
      </c>
      <c r="B15" t="s">
        <v>706</v>
      </c>
      <c r="C15" s="179">
        <f>ROUND('DOE25'!L203+'DOE25'!L221+'DOE25'!L239+'DOE25'!L282+'DOE25'!L301+'DOE25'!L320,0)</f>
        <v>1144994</v>
      </c>
      <c r="D15" s="182">
        <f t="shared" ref="D15:D27" si="0">ROUND((C15/$C$28)*100,1)</f>
        <v>8.1</v>
      </c>
    </row>
    <row r="16" spans="1:4" x14ac:dyDescent="0.2">
      <c r="A16">
        <v>2200</v>
      </c>
      <c r="B16" t="s">
        <v>707</v>
      </c>
      <c r="C16" s="179">
        <f>ROUND('DOE25'!L204+'DOE25'!L222+'DOE25'!L240+'DOE25'!L283+'DOE25'!L302+'DOE25'!L321,0)</f>
        <v>763058</v>
      </c>
      <c r="D16" s="182">
        <f t="shared" si="0"/>
        <v>5.4</v>
      </c>
    </row>
    <row r="17" spans="1:4" x14ac:dyDescent="0.2">
      <c r="A17" s="183" t="s">
        <v>723</v>
      </c>
      <c r="B17" t="s">
        <v>738</v>
      </c>
      <c r="C17" s="179">
        <f>ROUND('DOE25'!L205+'DOE25'!L210+'DOE25'!L223+'DOE25'!L228+'DOE25'!L241+'DOE25'!L246+'DOE25'!L284+'DOE25'!L289+'DOE25'!L303+'DOE25'!L308+'DOE25'!L322+'DOE25'!L327,0)</f>
        <v>954698</v>
      </c>
      <c r="D17" s="182">
        <f t="shared" si="0"/>
        <v>6.8</v>
      </c>
    </row>
    <row r="18" spans="1:4" x14ac:dyDescent="0.2">
      <c r="A18">
        <v>2400</v>
      </c>
      <c r="B18" t="s">
        <v>711</v>
      </c>
      <c r="C18" s="179">
        <f>ROUND('DOE25'!L206+'DOE25'!L224+'DOE25'!L242+'DOE25'!L285+'DOE25'!L304+'DOE25'!L323,0)</f>
        <v>993085</v>
      </c>
      <c r="D18" s="182">
        <f t="shared" si="0"/>
        <v>7.1</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1224078</v>
      </c>
      <c r="D20" s="182">
        <f t="shared" si="0"/>
        <v>8.6999999999999993</v>
      </c>
    </row>
    <row r="21" spans="1:4" x14ac:dyDescent="0.2">
      <c r="A21">
        <v>2700</v>
      </c>
      <c r="B21" t="s">
        <v>710</v>
      </c>
      <c r="C21" s="179">
        <f>ROUND('DOE25'!L209+'DOE25'!L227+'DOE25'!L245+'DOE25'!L288+'DOE25'!L307+'DOE25'!L326,0)</f>
        <v>505804</v>
      </c>
      <c r="D21" s="182">
        <f t="shared" si="0"/>
        <v>3.6</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9270</v>
      </c>
      <c r="D24" s="182">
        <f t="shared" si="0"/>
        <v>0.1</v>
      </c>
    </row>
    <row r="25" spans="1:4" x14ac:dyDescent="0.2">
      <c r="A25">
        <v>5120</v>
      </c>
      <c r="B25" t="s">
        <v>716</v>
      </c>
      <c r="C25" s="179">
        <f>ROUND('DOE25'!L262+'DOE25'!L343,0)</f>
        <v>140414</v>
      </c>
      <c r="D25" s="182">
        <f t="shared" si="0"/>
        <v>1</v>
      </c>
    </row>
    <row r="26" spans="1:4" x14ac:dyDescent="0.2">
      <c r="A26" s="183" t="s">
        <v>717</v>
      </c>
      <c r="B26" t="s">
        <v>718</v>
      </c>
      <c r="C26" s="179">
        <f>'DOE25'!L269+'DOE25'!L270+'DOE25'!L350+'DOE25'!L351</f>
        <v>12230</v>
      </c>
      <c r="D26" s="182">
        <f t="shared" si="0"/>
        <v>0.1</v>
      </c>
    </row>
    <row r="27" spans="1:4" x14ac:dyDescent="0.2">
      <c r="A27">
        <v>3100</v>
      </c>
      <c r="B27" t="s">
        <v>11</v>
      </c>
      <c r="C27" s="179">
        <f>ROUND('DOE25'!L363-'DOE25'!L362,0)-SUM('DOE25'!G97:G110)</f>
        <v>207159</v>
      </c>
      <c r="D27" s="182">
        <f t="shared" si="0"/>
        <v>1.5</v>
      </c>
    </row>
    <row r="28" spans="1:4" x14ac:dyDescent="0.2">
      <c r="B28" s="187" t="s">
        <v>719</v>
      </c>
      <c r="C28" s="180">
        <f>SUM(C10:C27)</f>
        <v>14084409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14084409</v>
      </c>
    </row>
    <row r="31" spans="1:4" x14ac:dyDescent="0.2">
      <c r="B31" s="33"/>
      <c r="C31" s="180"/>
    </row>
    <row r="32" spans="1:4" x14ac:dyDescent="0.2">
      <c r="A32">
        <v>5100</v>
      </c>
      <c r="B32" s="33" t="s">
        <v>726</v>
      </c>
      <c r="C32" s="180">
        <f>ROUND('DOE25'!L261+'DOE25'!L342,0)</f>
        <v>349333</v>
      </c>
    </row>
    <row r="34" spans="1:4" x14ac:dyDescent="0.2">
      <c r="A34" s="187" t="s">
        <v>94</v>
      </c>
      <c r="B34" s="188" t="s">
        <v>1667</v>
      </c>
      <c r="C34" s="181" t="s">
        <v>720</v>
      </c>
      <c r="D34" s="181" t="s">
        <v>721</v>
      </c>
    </row>
    <row r="35" spans="1:4" x14ac:dyDescent="0.2">
      <c r="A35">
        <v>1100</v>
      </c>
      <c r="B35" s="185" t="s">
        <v>727</v>
      </c>
      <c r="C35" s="179">
        <f>ROUND('DOE25'!F60+'DOE25'!G60+'DOE25'!H60+'DOE25'!I60+'DOE25'!J60,0)</f>
        <v>5802235</v>
      </c>
      <c r="D35" s="182">
        <f t="shared" ref="D35:D40" si="1">ROUND((C35/$C$41)*100,1)</f>
        <v>39</v>
      </c>
    </row>
    <row r="36" spans="1:4" x14ac:dyDescent="0.2">
      <c r="B36" s="185" t="s">
        <v>739</v>
      </c>
      <c r="C36" s="179">
        <f>SUM('DOE25'!F112:J112)-SUM('DOE25'!G97:G110)+('DOE25'!F175+'DOE25'!F176+'DOE25'!I175+'DOE25'!I176)-C35</f>
        <v>2147804</v>
      </c>
      <c r="D36" s="182">
        <f t="shared" si="1"/>
        <v>14.4</v>
      </c>
    </row>
    <row r="37" spans="1:4" x14ac:dyDescent="0.2">
      <c r="A37" s="183" t="s">
        <v>835</v>
      </c>
      <c r="B37" s="185" t="s">
        <v>728</v>
      </c>
      <c r="C37" s="179">
        <f>ROUND('DOE25'!F117+'DOE25'!F118,0)</f>
        <v>5499168</v>
      </c>
      <c r="D37" s="182">
        <f t="shared" si="1"/>
        <v>37</v>
      </c>
    </row>
    <row r="38" spans="1:4" x14ac:dyDescent="0.2">
      <c r="A38" s="183" t="s">
        <v>734</v>
      </c>
      <c r="B38" s="185" t="s">
        <v>729</v>
      </c>
      <c r="C38" s="179">
        <f>ROUND(SUM('DOE25'!F140:J140)-SUM('DOE25'!F117:F119),0)</f>
        <v>299314</v>
      </c>
      <c r="D38" s="182">
        <f t="shared" si="1"/>
        <v>2</v>
      </c>
    </row>
    <row r="39" spans="1:4" x14ac:dyDescent="0.2">
      <c r="A39">
        <v>4000</v>
      </c>
      <c r="B39" s="185" t="s">
        <v>730</v>
      </c>
      <c r="C39" s="179">
        <f>ROUND('DOE25'!F170+'DOE25'!G170+'DOE25'!H170+'DOE25'!I170,0)</f>
        <v>1117549</v>
      </c>
      <c r="D39" s="182">
        <f t="shared" si="1"/>
        <v>7.5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14866070</v>
      </c>
      <c r="D41" s="184">
        <f>SUM(D35:D40)</f>
        <v>99.9</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D11" sqref="D11"/>
      <selection pane="bottomLeft" activeCell="C11" sqref="C11:M11"/>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HAVERHILL COOPERATIVE SCHOOL DISTRICT</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t="s">
        <v>1679</v>
      </c>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t="s">
        <v>1680</v>
      </c>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topLeftCell="F3" workbookViewId="0">
      <selection activeCell="O99" sqref="O99"/>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2021-08-30T19:03:14Z</cp:lastPrinted>
  <dcterms:created xsi:type="dcterms:W3CDTF">1997-12-04T19:04:30Z</dcterms:created>
  <dcterms:modified xsi:type="dcterms:W3CDTF">2021-12-14T18:06:26Z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