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3010" windowHeight="8880" tabRatio="773" activeTab="5"/>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D37" i="14" l="1"/>
  <c r="D25" i="14"/>
  <c r="D5" i="14"/>
  <c r="H155" i="1" l="1"/>
  <c r="C37" i="12" l="1"/>
  <c r="F466" i="1" l="1"/>
  <c r="J605" i="1" l="1"/>
  <c r="I605" i="1"/>
  <c r="H605" i="1"/>
  <c r="H24" i="1"/>
  <c r="H369" i="1" l="1"/>
  <c r="G369" i="1"/>
  <c r="F369" i="1"/>
  <c r="F359" i="1"/>
  <c r="F68" i="1" l="1"/>
  <c r="F57" i="1"/>
  <c r="F24" i="1"/>
  <c r="F9" i="1"/>
  <c r="H244" i="1"/>
  <c r="H245" i="1"/>
  <c r="H227" i="1"/>
  <c r="H209" i="1"/>
  <c r="K222" i="1"/>
  <c r="J240" i="1"/>
  <c r="J204" i="1"/>
  <c r="I240" i="1"/>
  <c r="I222" i="1"/>
  <c r="I204" i="1"/>
  <c r="H222" i="1"/>
  <c r="H204" i="1"/>
  <c r="G240" i="1"/>
  <c r="G222" i="1"/>
  <c r="G204" i="1"/>
  <c r="F240" i="1"/>
  <c r="F222" i="1"/>
  <c r="F204" i="1"/>
  <c r="H239" i="1"/>
  <c r="H221" i="1"/>
  <c r="G239" i="1"/>
  <c r="G221" i="1"/>
  <c r="G203" i="1"/>
  <c r="F239" i="1"/>
  <c r="F221" i="1"/>
  <c r="F203" i="1"/>
  <c r="H235" i="1"/>
  <c r="H217" i="1"/>
  <c r="H199" i="1"/>
  <c r="G234" i="1"/>
  <c r="F234" i="1"/>
  <c r="G216" i="1"/>
  <c r="F216" i="1"/>
  <c r="G198" i="1"/>
  <c r="F198" i="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C58" i="2" s="1"/>
  <c r="F111" i="1"/>
  <c r="G111" i="1"/>
  <c r="H79" i="1"/>
  <c r="H94" i="1"/>
  <c r="H111" i="1"/>
  <c r="I111" i="1"/>
  <c r="I112" i="1" s="1"/>
  <c r="J111" i="1"/>
  <c r="J112" i="1" s="1"/>
  <c r="F121" i="1"/>
  <c r="F136" i="1"/>
  <c r="G121" i="1"/>
  <c r="G136" i="1"/>
  <c r="H121" i="1"/>
  <c r="H136" i="1"/>
  <c r="I121" i="1"/>
  <c r="I136" i="1"/>
  <c r="J121" i="1"/>
  <c r="J136" i="1"/>
  <c r="J140" i="1" s="1"/>
  <c r="F147" i="1"/>
  <c r="F170" i="1" s="1"/>
  <c r="G147" i="1"/>
  <c r="H147" i="1"/>
  <c r="H170" i="1" s="1"/>
  <c r="H469" i="1" s="1"/>
  <c r="H63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D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19" i="1"/>
  <c r="G619" i="1" s="1"/>
  <c r="H19" i="1"/>
  <c r="G620" i="1" s="1"/>
  <c r="I19" i="1"/>
  <c r="G621" i="1" s="1"/>
  <c r="F32" i="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I471" i="1"/>
  <c r="J471"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4" i="1"/>
  <c r="H631" i="1"/>
  <c r="H632" i="1"/>
  <c r="H634" i="1"/>
  <c r="H637" i="1"/>
  <c r="H638" i="1"/>
  <c r="H639" i="1"/>
  <c r="G641" i="1"/>
  <c r="G644" i="1"/>
  <c r="G645" i="1"/>
  <c r="G651" i="1"/>
  <c r="H653" i="1"/>
  <c r="G654" i="1"/>
  <c r="H654" i="1"/>
  <c r="G655" i="1"/>
  <c r="H655" i="1"/>
  <c r="H656" i="1"/>
  <c r="J656" i="1" s="1"/>
  <c r="G62" i="2"/>
  <c r="I170" i="1"/>
  <c r="H409" i="1" l="1"/>
  <c r="H645" i="1" s="1"/>
  <c r="H471" i="1"/>
  <c r="I409" i="1"/>
  <c r="F409" i="1"/>
  <c r="H644" i="1" s="1"/>
  <c r="J644" i="1" s="1"/>
  <c r="D50" i="2"/>
  <c r="G553" i="1"/>
  <c r="H477" i="1"/>
  <c r="H625" i="1" s="1"/>
  <c r="G618" i="1"/>
  <c r="F50" i="1"/>
  <c r="K339" i="1"/>
  <c r="G662" i="1"/>
  <c r="G409" i="1"/>
  <c r="H646" i="1" s="1"/>
  <c r="J646" i="1" s="1"/>
  <c r="G646" i="1"/>
  <c r="C32" i="10"/>
  <c r="J652" i="1"/>
  <c r="C120" i="2"/>
  <c r="D15" i="13"/>
  <c r="C15" i="13" s="1"/>
  <c r="H663" i="1"/>
  <c r="C12" i="10"/>
  <c r="C110" i="2"/>
  <c r="C112" i="2"/>
  <c r="C121" i="2"/>
  <c r="C13" i="10"/>
  <c r="A40" i="12"/>
  <c r="E123" i="2"/>
  <c r="J572" i="1"/>
  <c r="E110" i="2"/>
  <c r="J258" i="1"/>
  <c r="J272" i="1" s="1"/>
  <c r="H140" i="1"/>
  <c r="E119" i="2"/>
  <c r="D6" i="13"/>
  <c r="C6" i="13" s="1"/>
  <c r="E13" i="13"/>
  <c r="C13" i="13" s="1"/>
  <c r="K353" i="1"/>
  <c r="G339" i="1"/>
  <c r="G353" i="1" s="1"/>
  <c r="E131" i="2"/>
  <c r="F258" i="1"/>
  <c r="F272" i="1" s="1"/>
  <c r="C20" i="10"/>
  <c r="I370" i="1"/>
  <c r="H635" i="1" s="1"/>
  <c r="J635" i="1" s="1"/>
  <c r="L257" i="1"/>
  <c r="H193" i="1"/>
  <c r="H194" i="1" s="1"/>
  <c r="G630" i="1" s="1"/>
  <c r="J630" i="1" s="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F112" i="1"/>
  <c r="L394" i="1"/>
  <c r="C138" i="2" s="1"/>
  <c r="L363" i="1"/>
  <c r="B28" i="16"/>
  <c r="L329" i="1"/>
  <c r="E122" i="2"/>
  <c r="L291" i="1"/>
  <c r="L615" i="1"/>
  <c r="K599" i="1"/>
  <c r="G648" i="1" s="1"/>
  <c r="K572" i="1"/>
  <c r="L571" i="1"/>
  <c r="H572" i="1"/>
  <c r="L566" i="1"/>
  <c r="I572" i="1"/>
  <c r="K546" i="1"/>
  <c r="H52" i="1"/>
  <c r="H620" i="1" s="1"/>
  <c r="J620" i="1" s="1"/>
  <c r="C114" i="2"/>
  <c r="G112" i="1"/>
  <c r="B10" i="16" s="1"/>
  <c r="E118" i="2"/>
  <c r="E128" i="2" s="1"/>
  <c r="L248" i="1"/>
  <c r="L212" i="1"/>
  <c r="H648" i="1"/>
  <c r="J64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L434" i="1"/>
  <c r="L428" i="1"/>
  <c r="I258" i="1"/>
  <c r="I272" i="1" s="1"/>
  <c r="K258" i="1"/>
  <c r="K272" i="1" s="1"/>
  <c r="G193" i="1"/>
  <c r="B13" i="16" s="1"/>
  <c r="F193" i="1"/>
  <c r="J553" i="1"/>
  <c r="I553" i="1"/>
  <c r="K550" i="1"/>
  <c r="F553" i="1"/>
  <c r="L352" i="1"/>
  <c r="F130" i="2"/>
  <c r="F144" i="2" s="1"/>
  <c r="F145" i="2" s="1"/>
  <c r="G170" i="1"/>
  <c r="B12" i="16" s="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51" i="2" l="1"/>
  <c r="F51" i="1"/>
  <c r="C49" i="2"/>
  <c r="C50" i="2" s="1"/>
  <c r="C51" i="2" s="1"/>
  <c r="F661" i="1"/>
  <c r="F665" i="1" s="1"/>
  <c r="F668" i="1" s="1"/>
  <c r="B17" i="16"/>
  <c r="B19" i="16" s="1"/>
  <c r="G473" i="1"/>
  <c r="H661" i="1"/>
  <c r="H665" i="1" s="1"/>
  <c r="H668" i="1" s="1"/>
  <c r="H649" i="1"/>
  <c r="J649" i="1" s="1"/>
  <c r="G24" i="14"/>
  <c r="H24" i="14" s="1"/>
  <c r="I24" i="14" s="1"/>
  <c r="C81" i="2"/>
  <c r="F194" i="1"/>
  <c r="L572" i="1"/>
  <c r="F51" i="2"/>
  <c r="G36" i="14"/>
  <c r="H36" i="14" s="1"/>
  <c r="I36" i="14" s="1"/>
  <c r="E145" i="2"/>
  <c r="E104" i="2"/>
  <c r="C36" i="10"/>
  <c r="L435" i="1"/>
  <c r="G639" i="1" s="1"/>
  <c r="J639" i="1" s="1"/>
  <c r="I662" i="1"/>
  <c r="G104" i="2"/>
  <c r="L339" i="1"/>
  <c r="L353" i="1" s="1"/>
  <c r="G634" i="1" s="1"/>
  <c r="J634" i="1" s="1"/>
  <c r="I194" i="1"/>
  <c r="G631" i="1" s="1"/>
  <c r="J631" i="1" s="1"/>
  <c r="G636" i="1"/>
  <c r="G51" i="2"/>
  <c r="D104" i="2"/>
  <c r="L409" i="1"/>
  <c r="C27" i="10"/>
  <c r="C28" i="10" s="1"/>
  <c r="D23" i="10" s="1"/>
  <c r="G4" i="14"/>
  <c r="H4" i="14" s="1"/>
  <c r="I4" i="14" s="1"/>
  <c r="L546" i="1"/>
  <c r="J626" i="1"/>
  <c r="F104" i="2"/>
  <c r="B14" i="16"/>
  <c r="B22" i="16" s="1"/>
  <c r="E33" i="13"/>
  <c r="D35" i="13" s="1"/>
  <c r="J648" i="1"/>
  <c r="L258" i="1"/>
  <c r="L272" i="1" s="1"/>
  <c r="C115" i="2"/>
  <c r="C63" i="2"/>
  <c r="C104" i="2" s="1"/>
  <c r="C39" i="10"/>
  <c r="G33" i="13"/>
  <c r="C144" i="2"/>
  <c r="C128" i="2"/>
  <c r="D31" i="13"/>
  <c r="C31" i="13" s="1"/>
  <c r="I462" i="1"/>
  <c r="H643" i="1" s="1"/>
  <c r="J643" i="1" s="1"/>
  <c r="G661" i="1"/>
  <c r="G665" i="1" s="1"/>
  <c r="G673" i="1" s="1"/>
  <c r="C5" i="10" s="1"/>
  <c r="C25" i="13"/>
  <c r="I33" i="13"/>
  <c r="K553" i="1"/>
  <c r="G632" i="1"/>
  <c r="J632" i="1" s="1"/>
  <c r="G194" i="1"/>
  <c r="G627" i="1"/>
  <c r="J627" i="1" s="1"/>
  <c r="J52" i="1"/>
  <c r="H622" i="1" s="1"/>
  <c r="J622" i="1" s="1"/>
  <c r="C38" i="10"/>
  <c r="G633" i="1" l="1"/>
  <c r="F473" i="1"/>
  <c r="G629" i="1"/>
  <c r="G469" i="1"/>
  <c r="G628" i="1"/>
  <c r="F469" i="1"/>
  <c r="G623" i="1"/>
  <c r="F52" i="1"/>
  <c r="H618" i="1" s="1"/>
  <c r="J618" i="1" s="1"/>
  <c r="G475" i="1"/>
  <c r="H636" i="1"/>
  <c r="J636" i="1" s="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G471" i="1" l="1"/>
  <c r="H629" i="1"/>
  <c r="J629" i="1"/>
  <c r="F475" i="1"/>
  <c r="H633" i="1"/>
  <c r="G477" i="1"/>
  <c r="H624" i="1" s="1"/>
  <c r="J633" i="1"/>
  <c r="F471" i="1"/>
  <c r="F477" i="1" s="1"/>
  <c r="H623" i="1" s="1"/>
  <c r="J623" i="1" s="1"/>
  <c r="H628" i="1"/>
  <c r="J628" i="1" s="1"/>
  <c r="B33" i="16"/>
  <c r="I668" i="1"/>
  <c r="D28" i="10"/>
  <c r="D37" i="10"/>
  <c r="D36" i="10"/>
  <c r="D35" i="10"/>
  <c r="D40" i="10"/>
  <c r="D39" i="10"/>
  <c r="J624" i="1" l="1"/>
  <c r="H657" i="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<sst xmlns="http://schemas.openxmlformats.org/spreadsheetml/2006/main" count="5576" uniqueCount="1673">
  <si>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</si>
  <si>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</si>
  <si>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</si>
  <si>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</si>
  <si>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</si>
  <si>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</si>
  <si>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</si>
  <si>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</si>
  <si>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</si>
  <si>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</si>
  <si>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</si>
  <si>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</si>
  <si>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</si>
  <si>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</si>
  <si>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</si>
  <si>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</si>
  <si>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</si>
  <si>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</si>
  <si>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</si>
  <si>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</si>
  <si>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</si>
  <si>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</si>
  <si>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</si>
  <si>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</si>
  <si>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</si>
  <si>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</si>
  <si>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</si>
  <si>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</si>
  <si>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</si>
  <si>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</si>
  <si>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</si>
  <si>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</si>
  <si>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</si>
  <si>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</si>
  <si>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</si>
  <si>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</si>
  <si>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</si>
  <si>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</si>
  <si>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</si>
  <si>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</si>
  <si>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</si>
  <si>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</si>
  <si>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</si>
  <si>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</si>
  <si>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</si>
  <si>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</si>
  <si>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</si>
  <si>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</si>
  <si>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</si>
  <si>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</si>
  <si>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</si>
  <si>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</si>
  <si>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</si>
  <si>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</si>
  <si>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</si>
  <si>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</si>
  <si>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</si>
  <si>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</si>
  <si>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</si>
  <si>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</si>
  <si>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</si>
  <si>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</si>
  <si>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</si>
  <si>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</si>
  <si>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</si>
  <si>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</si>
  <si>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</si>
  <si>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</si>
  <si>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</si>
  <si>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</si>
  <si>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</si>
  <si>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</si>
  <si>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</si>
  <si>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</si>
  <si>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</si>
  <si>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</si>
  <si>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</si>
  <si>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</si>
  <si>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</si>
  <si>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</si>
  <si>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</si>
  <si>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</si>
  <si>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</si>
  <si>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</si>
  <si>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</si>
  <si>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</si>
  <si>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</si>
  <si>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</si>
  <si>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</si>
  <si>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</si>
  <si>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</si>
  <si>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</si>
  <si>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</si>
  <si>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</si>
  <si>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</si>
  <si>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</si>
  <si>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</si>
  <si>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</si>
  <si>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</si>
  <si>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</si>
  <si>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</si>
  <si>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</si>
  <si>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</si>
  <si>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</si>
  <si>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</si>
  <si>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</si>
  <si>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</si>
  <si>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</si>
  <si>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</si>
  <si>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</si>
  <si>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</si>
  <si>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</si>
  <si>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</si>
  <si>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</si>
  <si>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</si>
  <si>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</si>
  <si>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</si>
  <si>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</si>
  <si>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</si>
  <si>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</si>
  <si>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</si>
  <si>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</si>
  <si>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</si>
  <si>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</si>
  <si>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</si>
  <si>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</si>
  <si>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</si>
  <si>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</si>
  <si>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</si>
  <si>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</si>
  <si>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</si>
  <si>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</si>
  <si>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</si>
  <si>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</si>
  <si>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</si>
  <si>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</si>
  <si>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</si>
  <si>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</si>
  <si>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</si>
  <si>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</si>
  <si>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</si>
  <si>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</si>
  <si>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</si>
  <si>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</si>
  <si>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</si>
  <si>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</si>
  <si>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</si>
  <si>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</si>
  <si>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</si>
  <si>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</si>
  <si>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</si>
  <si>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</si>
  <si>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</si>
  <si>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</si>
  <si>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</si>
  <si>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</si>
  <si>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</si>
  <si>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</si>
  <si>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</si>
  <si>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</si>
  <si>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</si>
  <si>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</si>
  <si>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</si>
  <si>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</si>
  <si>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</si>
  <si>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</si>
  <si>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</si>
  <si>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</si>
  <si>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</si>
  <si>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</si>
  <si>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</si>
  <si>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</si>
  <si>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</si>
  <si>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</si>
  <si>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</si>
  <si>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</si>
  <si>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</si>
  <si>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</si>
  <si>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</si>
  <si>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</si>
  <si>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</si>
  <si>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</si>
  <si>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</si>
  <si>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</si>
  <si>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</si>
  <si>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</si>
  <si>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</si>
  <si>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</si>
  <si>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</si>
  <si>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</si>
  <si>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</si>
  <si>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</si>
  <si>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</si>
  <si>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</si>
  <si>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</si>
  <si>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</si>
  <si>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</si>
  <si>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</si>
  <si>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</si>
  <si>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</si>
  <si>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</si>
  <si>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</si>
  <si>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</si>
  <si>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</si>
  <si>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</si>
  <si>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</si>
  <si>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</si>
  <si>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</si>
  <si>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</si>
  <si>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</si>
  <si>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</si>
  <si>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</si>
  <si>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</si>
  <si>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</si>
  <si>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</si>
  <si>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</si>
  <si>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</si>
  <si>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</si>
  <si>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</si>
  <si>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</si>
  <si>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</si>
  <si>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</si>
  <si>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</si>
  <si>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</si>
  <si>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</si>
  <si>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</si>
  <si>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</si>
  <si>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</si>
  <si>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</si>
  <si>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</si>
  <si>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</si>
  <si>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</si>
  <si>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</si>
  <si>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</si>
  <si>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</si>
  <si>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</si>
  <si>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</si>
  <si>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</si>
  <si>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</si>
  <si>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</si>
  <si>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</si>
  <si>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</si>
  <si>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</si>
  <si>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</si>
  <si>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</si>
  <si>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</si>
  <si>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</si>
  <si>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</si>
  <si>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</si>
  <si>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</si>
  <si>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</si>
  <si>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</si>
  <si>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</si>
  <si>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</si>
  <si>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</si>
  <si>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</si>
  <si>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</si>
  <si>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</si>
  <si>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</si>
  <si>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</si>
  <si>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</si>
  <si>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</si>
  <si>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</si>
  <si>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</si>
  <si>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</si>
  <si>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</si>
  <si>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</si>
  <si>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</si>
  <si>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</si>
  <si>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</si>
  <si>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</si>
  <si>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</si>
  <si>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</si>
  <si>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</si>
  <si>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</si>
  <si>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</si>
  <si>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</si>
  <si>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</si>
  <si>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</si>
  <si>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</si>
  <si>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</si>
  <si>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</si>
  <si>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</si>
  <si>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</si>
  <si>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</si>
  <si>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</si>
  <si>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</si>
  <si>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</si>
  <si>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</si>
  <si>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</si>
  <si>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</si>
  <si>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</si>
  <si>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</si>
  <si>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</si>
  <si>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</si>
  <si>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</si>
  <si>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</si>
  <si>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</si>
  <si>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</si>
  <si>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</si>
  <si>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</si>
  <si>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</si>
  <si>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</si>
  <si>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</si>
  <si>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</si>
  <si>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</si>
  <si>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</si>
  <si>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</si>
  <si>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</si>
  <si>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</si>
  <si>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</si>
  <si>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</si>
  <si>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</si>
  <si>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</si>
  <si>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</si>
  <si>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</si>
  <si>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</si>
  <si>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</si>
  <si>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</si>
  <si>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</si>
  <si>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</si>
  <si>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</si>
  <si>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</si>
  <si>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</si>
  <si>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</si>
  <si>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</si>
  <si>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</si>
  <si>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</si>
  <si>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</si>
  <si>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</si>
  <si>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</si>
  <si>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</si>
  <si>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</si>
  <si>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</si>
  <si>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</si>
  <si>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</si>
  <si>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</si>
  <si>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</si>
  <si>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</si>
  <si>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</si>
  <si>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</si>
  <si>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</si>
  <si>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</si>
  <si>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</si>
  <si>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</si>
  <si>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</si>
  <si>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</si>
  <si>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</si>
  <si>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</si>
  <si>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</si>
  <si>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</si>
  <si>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</si>
  <si>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</si>
  <si>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</si>
  <si>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</si>
  <si>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</si>
  <si>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</si>
  <si>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</si>
  <si>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</si>
  <si>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</si>
  <si>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</si>
  <si>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</si>
  <si>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</si>
  <si>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</si>
  <si>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</si>
  <si>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</si>
  <si>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</si>
  <si>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</si>
  <si>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</si>
  <si>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</si>
  <si>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</si>
  <si>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</si>
  <si>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</si>
  <si>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</si>
  <si>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</si>
  <si>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</si>
  <si>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</si>
  <si>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</si>
  <si>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</si>
  <si>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</si>
  <si>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</si>
  <si>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</si>
  <si>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</si>
  <si>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</si>
  <si>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</si>
  <si>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</si>
  <si>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</si>
  <si>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</si>
  <si>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</si>
  <si>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</si>
  <si>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</si>
  <si>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</si>
  <si>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</si>
  <si>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</si>
  <si>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</si>
  <si>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</si>
  <si>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</si>
  <si>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</si>
  <si>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</si>
  <si>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</si>
  <si>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</si>
  <si>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</si>
  <si>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</si>
  <si>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</si>
  <si>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</si>
  <si>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</si>
  <si>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</si>
  <si>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</si>
  <si>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</si>
  <si>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</si>
  <si>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</si>
  <si>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</si>
  <si>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</si>
  <si>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</si>
  <si>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</si>
  <si>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</si>
  <si>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</si>
  <si>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</si>
  <si>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</si>
  <si>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</si>
  <si>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</si>
  <si>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</si>
  <si>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</si>
  <si>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</si>
  <si>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</si>
  <si>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</si>
  <si>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</si>
  <si>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</si>
  <si>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</si>
  <si>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</si>
  <si>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</si>
  <si>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</si>
  <si>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</si>
  <si>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</si>
  <si>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</si>
  <si>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</si>
  <si>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</si>
  <si>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</si>
  <si>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</si>
  <si>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</si>
  <si>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</si>
  <si>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</si>
  <si>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</si>
  <si>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</si>
  <si>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</si>
  <si>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</si>
  <si>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</si>
  <si>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</si>
  <si>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</si>
  <si>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</si>
  <si>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</si>
  <si>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</si>
  <si>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</si>
  <si>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</si>
  <si>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</si>
  <si>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</si>
  <si>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</si>
  <si>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</si>
  <si>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</si>
  <si>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</si>
  <si>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</si>
  <si>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</si>
  <si>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</si>
  <si>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</si>
  <si>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</si>
  <si>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</si>
  <si>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</si>
  <si>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</si>
  <si>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</si>
  <si>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</si>
  <si>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</si>
  <si>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</si>
  <si>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</si>
  <si>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</si>
  <si>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</si>
  <si>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</si>
  <si>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</si>
  <si>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</si>
  <si>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</si>
  <si>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</si>
  <si>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</si>
  <si>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</si>
  <si>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</si>
  <si>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</si>
  <si>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</si>
  <si>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</si>
  <si>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</si>
  <si>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</si>
  <si>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</si>
  <si>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</si>
  <si>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</si>
  <si>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</si>
  <si>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</si>
  <si>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</si>
  <si>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</si>
  <si>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</si>
  <si>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</si>
  <si>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</si>
  <si>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</si>
  <si>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</si>
  <si>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</si>
  <si>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</si>
  <si>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</si>
  <si>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</si>
  <si>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</si>
  <si>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</si>
  <si>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</si>
  <si>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</si>
  <si>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</si>
  <si>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</si>
  <si>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</si>
  <si>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</si>
  <si>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</si>
  <si>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</si>
  <si>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</si>
  <si>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</si>
  <si>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</si>
  <si>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</si>
  <si>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</si>
  <si>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</si>
  <si>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</si>
  <si>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</si>
  <si>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</si>
  <si>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</si>
  <si>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</si>
  <si>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</si>
  <si>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</si>
  <si>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</si>
  <si>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</si>
  <si>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</si>
  <si>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</si>
  <si>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</si>
  <si>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</si>
  <si>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</si>
  <si>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</si>
  <si>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</si>
  <si>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</si>
  <si>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</si>
  <si>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</si>
  <si>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</si>
  <si>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</si>
  <si>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</si>
  <si>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</si>
  <si>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</si>
  <si>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</si>
  <si>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</si>
  <si>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</si>
  <si>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</si>
  <si>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</si>
  <si>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</si>
  <si>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</si>
  <si>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</si>
  <si>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</si>
  <si>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</si>
  <si>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</si>
  <si>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</si>
  <si>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</si>
  <si>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</si>
  <si>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</si>
  <si>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</si>
  <si>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</si>
  <si>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</si>
  <si>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</si>
  <si>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</si>
  <si>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</si>
  <si>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</si>
  <si>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</si>
  <si>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</si>
  <si>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</si>
  <si>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</si>
  <si>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</si>
  <si>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</si>
  <si>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</si>
  <si>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</si>
  <si>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</si>
  <si>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</si>
  <si>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</si>
  <si>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</si>
  <si>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</si>
  <si>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</si>
  <si>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</si>
  <si>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</si>
  <si>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</si>
  <si>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</si>
  <si>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</si>
  <si>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</si>
  <si>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</si>
  <si>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</si>
  <si>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</si>
  <si>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</si>
  <si>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</si>
  <si>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</si>
  <si>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</si>
  <si>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</si>
  <si>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</si>
  <si>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</si>
  <si>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</si>
  <si>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</si>
  <si>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</si>
  <si>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</si>
  <si>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</si>
  <si>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</si>
  <si>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</si>
  <si>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</si>
  <si>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</si>
  <si>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</si>
  <si>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</si>
  <si>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</si>
  <si>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</si>
  <si>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</si>
  <si>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</si>
  <si>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</si>
  <si>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</si>
  <si>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</si>
  <si>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</si>
  <si>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</si>
  <si>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</si>
  <si>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</si>
  <si>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</si>
  <si>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</si>
  <si>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</si>
  <si>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</si>
  <si>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</si>
  <si>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</si>
  <si>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</si>
  <si>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</si>
  <si>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</si>
  <si>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</si>
  <si>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</si>
  <si>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</si>
  <si>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</si>
  <si>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</si>
  <si>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</si>
  <si>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</si>
  <si>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</si>
  <si>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</si>
  <si>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</si>
  <si>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</si>
  <si>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</si>
  <si>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</si>
  <si>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</si>
  <si>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</si>
  <si>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</si>
  <si>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</si>
  <si>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</si>
  <si>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</si>
  <si>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</si>
  <si>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</si>
  <si>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</si>
  <si>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</si>
  <si>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</si>
  <si>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</si>
  <si>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</si>
  <si>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</si>
  <si>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</si>
  <si>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</si>
  <si>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</si>
  <si>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</si>
  <si>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</si>
  <si>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</si>
  <si>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</si>
  <si>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</si>
  <si>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</si>
  <si>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</si>
  <si>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</si>
  <si>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</si>
  <si>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</si>
  <si>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</si>
  <si>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</si>
  <si>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</si>
  <si>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</si>
  <si>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</si>
  <si>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</si>
  <si>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</si>
  <si>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</si>
  <si>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</si>
  <si>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</si>
  <si>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</si>
  <si>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</si>
  <si>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</si>
  <si>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</si>
  <si>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</si>
  <si>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</si>
  <si>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</si>
  <si>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</si>
  <si>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</si>
  <si>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</si>
  <si>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</si>
  <si>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</si>
  <si>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</si>
  <si>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</si>
  <si>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</si>
  <si>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</si>
  <si>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</si>
  <si>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</si>
  <si>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</si>
  <si>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</si>
  <si>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</si>
  <si>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</si>
  <si>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</si>
  <si>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</si>
  <si>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</si>
  <si>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</si>
  <si>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</si>
  <si>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</si>
  <si>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</si>
  <si>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</si>
  <si>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</si>
  <si>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</si>
  <si>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</si>
  <si>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</si>
  <si>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</si>
  <si>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</si>
  <si>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</si>
  <si>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</si>
  <si>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</si>
  <si>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</si>
  <si>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</si>
  <si>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</si>
  <si>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</si>
  <si>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</si>
  <si>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</si>
  <si>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</si>
  <si>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</si>
  <si>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</si>
  <si>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</si>
  <si>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</si>
  <si>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</si>
  <si>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</si>
  <si>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</si>
  <si>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</si>
  <si>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</si>
  <si>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</si>
  <si>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</si>
  <si>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</si>
  <si>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</si>
  <si>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</si>
  <si>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</si>
  <si>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</si>
  <si>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</si>
  <si>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</si>
  <si>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</si>
  <si>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</si>
  <si>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</si>
  <si>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</si>
  <si>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</si>
  <si>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</si>
  <si>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</si>
  <si>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</si>
  <si>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</si>
  <si>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</si>
  <si>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</si>
  <si>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</si>
  <si>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</si>
  <si>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</si>
  <si>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</si>
  <si>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</si>
  <si>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</si>
  <si>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</si>
  <si>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</si>
  <si>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</si>
  <si>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</si>
  <si>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</si>
  <si>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</si>
  <si>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</si>
  <si>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</si>
  <si>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</si>
  <si>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</si>
  <si>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</si>
  <si>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</si>
  <si>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</si>
  <si>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</si>
  <si>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</si>
  <si>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</si>
  <si>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</si>
  <si>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</si>
  <si>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</si>
  <si>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</si>
  <si>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</si>
  <si>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</si>
  <si>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</si>
  <si>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</si>
  <si>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</si>
  <si>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</si>
  <si>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</si>
  <si>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</si>
  <si>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</si>
  <si>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</si>
  <si>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</si>
  <si>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</si>
  <si>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</si>
  <si>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</si>
  <si>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</si>
  <si>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</si>
  <si>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</si>
  <si>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</si>
  <si>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</si>
  <si>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</si>
  <si>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</si>
  <si>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</si>
  <si>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</si>
  <si>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</si>
  <si>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</si>
  <si>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</si>
  <si>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</si>
  <si>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</si>
  <si>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</si>
  <si>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</si>
  <si>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</si>
  <si>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</si>
  <si>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</si>
  <si>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</si>
  <si>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</si>
  <si>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</si>
  <si>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</si>
  <si>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</si>
  <si>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</si>
  <si>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</si>
  <si>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</si>
  <si>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</si>
  <si>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</si>
  <si>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</si>
  <si>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</si>
  <si>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</si>
  <si>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</si>
  <si>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</si>
  <si>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</si>
  <si>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</si>
  <si>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</si>
  <si>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</si>
  <si>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</si>
  <si>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</si>
  <si>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</si>
  <si>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</si>
  <si>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</si>
  <si>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</si>
  <si>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</si>
  <si>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</si>
  <si>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</si>
  <si>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</si>
  <si>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</si>
  <si>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</si>
  <si>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</si>
  <si>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</si>
  <si>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</si>
  <si>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</si>
  <si>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</si>
  <si>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</si>
  <si>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</si>
  <si>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</si>
  <si>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</si>
  <si>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</si>
  <si>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</si>
  <si>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</si>
  <si>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</si>
  <si>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</si>
  <si>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</si>
  <si>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</si>
  <si>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</si>
  <si>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</si>
  <si>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</si>
  <si>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</si>
  <si>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</si>
  <si>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</si>
  <si>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</si>
  <si>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</si>
  <si>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</si>
  <si>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</si>
  <si>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</si>
  <si>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</si>
  <si>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</si>
  <si>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</si>
  <si>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</si>
  <si>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</si>
  <si>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</si>
  <si>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</si>
  <si>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</si>
  <si>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</si>
  <si>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</si>
  <si>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</si>
  <si>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</si>
  <si>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</si>
  <si>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</si>
  <si>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</si>
  <si>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</si>
  <si>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</si>
  <si>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</si>
  <si>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</si>
  <si>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</si>
  <si>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</si>
  <si>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</si>
  <si>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</si>
  <si>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</si>
  <si>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</si>
  <si>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</si>
  <si>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</si>
  <si>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</si>
  <si>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</si>
  <si>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</si>
  <si>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</si>
  <si>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</si>
  <si>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</si>
  <si>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</si>
  <si>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</si>
  <si>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</si>
  <si>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</si>
  <si>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</si>
  <si>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</si>
  <si>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</si>
  <si>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</si>
  <si>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</si>
  <si>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</si>
  <si>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</si>
  <si>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</si>
  <si>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</si>
  <si>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</si>
  <si>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</si>
  <si>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</si>
  <si>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</si>
  <si>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</si>
  <si>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</si>
  <si>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</si>
  <si>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</si>
  <si>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</si>
  <si>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</si>
  <si>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</si>
  <si>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</si>
  <si>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</si>
  <si>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</si>
  <si>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</si>
  <si>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</si>
  <si>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</si>
  <si>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</si>
  <si>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</si>
  <si>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</si>
  <si>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</si>
  <si>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</si>
  <si>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</si>
  <si>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</si>
  <si>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</si>
  <si>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</si>
  <si>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</si>
  <si>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</si>
  <si>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</si>
  <si>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</si>
  <si>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</si>
  <si>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</si>
  <si>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</si>
  <si>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</si>
  <si>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</si>
  <si>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</si>
  <si>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</si>
  <si>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</si>
  <si>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</si>
  <si>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</si>
  <si>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</si>
  <si>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</si>
  <si>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</si>
  <si>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</si>
  <si>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</si>
  <si>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</si>
  <si>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</si>
  <si>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</si>
  <si>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</si>
  <si>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</si>
  <si>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</si>
  <si>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</si>
  <si>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</si>
  <si>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</si>
  <si>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</si>
  <si>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</si>
  <si>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</si>
  <si>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</si>
  <si>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</si>
  <si>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</si>
  <si>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</si>
  <si>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</si>
  <si>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</si>
  <si>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</si>
  <si>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</si>
  <si>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</si>
  <si>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</si>
  <si>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</si>
  <si>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</si>
  <si>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</si>
  <si>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</si>
  <si>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</si>
  <si>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</si>
  <si>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</si>
  <si>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</si>
  <si>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</si>
  <si>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</si>
  <si>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</si>
  <si>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</si>
  <si>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</si>
  <si>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</si>
  <si>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</si>
  <si>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</si>
  <si>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</si>
  <si>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</si>
  <si>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</si>
  <si>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</si>
  <si>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</si>
  <si>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</si>
  <si>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</si>
  <si>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</si>
  <si>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</si>
  <si>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</si>
  <si>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</si>
  <si>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</si>
  <si>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</si>
  <si>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</si>
  <si>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</si>
  <si>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</si>
  <si>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</si>
  <si>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</si>
  <si>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</si>
  <si>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</si>
  <si>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</si>
  <si>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</si>
  <si>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</si>
  <si>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</si>
  <si>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</si>
  <si>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</si>
  <si>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</si>
  <si>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</si>
  <si>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</si>
  <si>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</si>
  <si>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</si>
  <si>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</si>
  <si>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</si>
  <si>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</si>
  <si>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</si>
  <si>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</si>
  <si>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</si>
  <si>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</si>
  <si>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</si>
  <si>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</si>
  <si>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</si>
  <si>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</si>
  <si>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</si>
  <si>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</si>
  <si>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</si>
  <si>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</si>
  <si>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</si>
  <si>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</si>
  <si>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</si>
  <si>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</si>
  <si>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</si>
  <si>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</si>
  <si>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</si>
  <si>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</si>
  <si>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</si>
  <si>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</si>
  <si>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</si>
  <si>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</si>
  <si>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</si>
  <si>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</si>
  <si>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</si>
  <si>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</si>
  <si>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</si>
  <si>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</si>
  <si>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</si>
  <si>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</si>
  <si>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</si>
  <si>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</si>
  <si>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</si>
  <si>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</si>
  <si>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</si>
  <si>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</si>
  <si>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</si>
  <si>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</si>
  <si>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</si>
  <si>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</si>
  <si>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</si>
  <si>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</si>
  <si>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</si>
  <si>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</si>
  <si>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</si>
  <si>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</si>
  <si>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</si>
  <si>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</si>
  <si>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</si>
  <si>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</si>
  <si>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</si>
  <si>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</si>
  <si>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</si>
  <si>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</si>
  <si>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</si>
  <si>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</si>
  <si>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</si>
  <si>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</si>
  <si>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</si>
  <si>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</si>
  <si>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</si>
  <si>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</si>
  <si>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</si>
  <si>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</si>
  <si>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</si>
  <si>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</si>
  <si>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</si>
  <si>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</si>
  <si>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</si>
  <si>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</si>
  <si>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</si>
  <si>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</si>
  <si>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</si>
  <si>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</si>
  <si>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</si>
  <si>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</si>
  <si>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</si>
  <si>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</si>
  <si>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</si>
  <si>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</si>
  <si>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</si>
  <si>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</si>
  <si>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</si>
  <si>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</si>
  <si>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</si>
  <si>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</si>
  <si>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</si>
  <si>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</si>
  <si>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</si>
  <si>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</si>
  <si>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</si>
  <si>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</si>
  <si>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</si>
  <si>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</si>
  <si>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</si>
  <si>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</si>
  <si>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</si>
  <si>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</si>
  <si>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</si>
  <si>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</si>
  <si>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</si>
  <si>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</si>
  <si>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</si>
  <si>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</si>
  <si>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</si>
  <si>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</si>
  <si>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</si>
  <si>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</si>
  <si>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</si>
  <si>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</si>
  <si>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</si>
  <si>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</si>
  <si>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</si>
  <si>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</si>
  <si>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</si>
  <si>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</si>
  <si>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</si>
  <si>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</si>
  <si>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</si>
  <si>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</si>
  <si>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</si>
  <si>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</si>
  <si>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</si>
  <si>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</si>
  <si>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</si>
  <si>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</si>
  <si>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</si>
  <si>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</si>
  <si>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</si>
  <si>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</si>
  <si>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</si>
  <si>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</si>
  <si>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</si>
  <si>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</si>
  <si>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</si>
  <si>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</si>
  <si>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</si>
  <si>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</si>
  <si>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</si>
  <si>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</si>
  <si>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</si>
  <si>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</si>
  <si>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</si>
  <si>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</si>
  <si>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</si>
  <si>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</si>
  <si>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</si>
  <si>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</si>
  <si>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</si>
  <si>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</si>
  <si>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</si>
  <si>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</si>
  <si>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</si>
  <si>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</si>
  <si>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</si>
  <si>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</si>
  <si>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</si>
  <si>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</si>
  <si>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</si>
  <si>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</si>
  <si>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</si>
  <si>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</si>
  <si>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</si>
  <si>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</si>
  <si>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</si>
  <si>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</si>
  <si>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</si>
  <si>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</si>
  <si>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</si>
  <si>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</si>
  <si>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</si>
  <si>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</si>
  <si>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</si>
  <si>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</si>
  <si>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</si>
  <si>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</si>
  <si>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</si>
  <si>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</si>
  <si>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</si>
  <si>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</si>
  <si>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</si>
  <si>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</si>
  <si>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</si>
  <si>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</si>
  <si>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</si>
  <si>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</si>
  <si>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</si>
  <si>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</si>
  <si>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</si>
  <si>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</si>
  <si>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</si>
  <si>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</si>
  <si>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</si>
  <si>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</si>
  <si>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</si>
  <si>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</si>
  <si>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</si>
  <si>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</si>
  <si>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</si>
  <si>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</si>
  <si>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</si>
  <si>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</si>
  <si>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</si>
  <si>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</si>
  <si>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</si>
  <si>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</si>
  <si>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</si>
  <si>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</si>
  <si>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</si>
  <si>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</si>
  <si>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</si>
  <si>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</si>
  <si>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</si>
  <si>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</si>
  <si>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</si>
  <si>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</si>
  <si>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</si>
  <si>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</si>
  <si>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</si>
  <si>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</si>
  <si>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</si>
  <si>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</si>
  <si>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</si>
  <si>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</si>
  <si>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</si>
  <si>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</si>
  <si>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</si>
  <si>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</si>
  <si>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</si>
  <si>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</si>
  <si>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</si>
  <si>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</si>
  <si>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</si>
  <si>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</si>
  <si>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</si>
  <si>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</si>
  <si>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</si>
  <si>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</si>
  <si>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</si>
  <si>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</si>
  <si>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</si>
  <si>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</si>
  <si>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</si>
  <si>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</si>
  <si>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</si>
  <si>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</si>
  <si>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</si>
  <si>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</si>
  <si>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</si>
  <si>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</si>
  <si>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</si>
  <si>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</si>
  <si>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</si>
  <si>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</si>
  <si>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</si>
  <si>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</si>
  <si>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</si>
  <si>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</si>
  <si>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</si>
  <si>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</si>
  <si>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</si>
  <si>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</si>
  <si>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</si>
  <si>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</si>
  <si>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</si>
  <si>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</si>
  <si>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</si>
  <si>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</si>
  <si>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</si>
  <si>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</si>
  <si>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</si>
  <si>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</si>
  <si>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</si>
  <si>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</si>
  <si>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</si>
  <si>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</si>
  <si>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</si>
  <si>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</si>
  <si>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</si>
  <si>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</si>
  <si>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</si>
  <si>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</si>
  <si>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</si>
  <si>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</si>
  <si>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</si>
  <si>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</si>
  <si>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</si>
  <si>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</si>
  <si>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</si>
  <si>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</si>
  <si>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</si>
  <si>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</si>
  <si>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</si>
  <si>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</si>
  <si>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</si>
  <si>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</si>
  <si>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</si>
  <si>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</si>
  <si>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</si>
  <si>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</si>
  <si>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</si>
  <si>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</si>
  <si>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</si>
  <si>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</si>
  <si>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</si>
  <si>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</si>
  <si>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</si>
  <si>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</si>
  <si>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</si>
  <si>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</si>
  <si>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</si>
  <si>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</si>
  <si>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</si>
  <si>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</si>
  <si>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</si>
  <si>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</si>
  <si>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</si>
  <si>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</si>
  <si>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</si>
  <si>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</si>
  <si>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</si>
  <si>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</si>
  <si>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</si>
  <si>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</si>
  <si>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</si>
  <si>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</si>
  <si>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</si>
  <si>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</si>
  <si>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</si>
  <si>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</si>
  <si>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</si>
  <si>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</si>
  <si>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</si>
  <si>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</si>
  <si>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</si>
  <si>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</si>
  <si>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</si>
  <si>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</si>
  <si>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</si>
  <si>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</si>
  <si>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</si>
  <si>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</si>
  <si>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</si>
  <si>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</si>
  <si>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</si>
  <si>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</si>
  <si>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</si>
  <si>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</si>
  <si>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</si>
  <si>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</si>
  <si>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</si>
  <si>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</si>
  <si>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</si>
  <si>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</si>
  <si>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</si>
  <si>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</si>
  <si>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</si>
  <si>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</si>
  <si>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</si>
  <si>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</si>
  <si>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</si>
  <si>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</si>
  <si>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</si>
  <si>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</si>
  <si>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</si>
  <si>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</si>
  <si>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</si>
  <si>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</si>
  <si>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</si>
  <si>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</si>
  <si>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</si>
  <si>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</si>
  <si>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</si>
  <si>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</si>
  <si>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</si>
  <si>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</si>
  <si>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</si>
  <si>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</si>
  <si>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</si>
  <si>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</si>
  <si>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</si>
  <si>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</si>
  <si>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</si>
  <si>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</si>
  <si>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</si>
  <si>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</si>
  <si>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</si>
  <si>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</si>
  <si>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</si>
  <si>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</si>
  <si>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</si>
  <si>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</si>
  <si>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</si>
  <si>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</si>
  <si>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</si>
  <si>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</si>
  <si>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</si>
  <si>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</si>
  <si>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</si>
  <si>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</si>
  <si>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</si>
  <si>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</si>
  <si>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</si>
  <si>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</si>
  <si>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</si>
  <si>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</si>
  <si>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</si>
  <si>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</si>
  <si>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</si>
  <si>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</si>
  <si>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</si>
  <si>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</si>
  <si>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</si>
  <si>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</si>
  <si>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</si>
  <si>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</si>
  <si>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</si>
  <si>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</si>
  <si>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</si>
  <si>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</si>
  <si>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</si>
  <si>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</si>
  <si>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</si>
  <si>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</si>
  <si>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</si>
  <si>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</si>
  <si>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</si>
  <si>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</si>
  <si>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</si>
  <si>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</si>
  <si>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</si>
  <si>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</si>
  <si>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</si>
  <si>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</si>
  <si>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</si>
  <si>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</si>
  <si>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</si>
  <si>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</si>
  <si>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</si>
  <si>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</si>
  <si>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</si>
  <si>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</si>
  <si>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</si>
  <si>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</si>
  <si>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</si>
  <si>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</si>
  <si>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</si>
  <si>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</si>
  <si>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</si>
  <si>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</si>
  <si>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</si>
  <si>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</si>
  <si>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</si>
  <si>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</si>
  <si>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</si>
  <si>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</si>
  <si>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</si>
  <si>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</si>
  <si>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</si>
  <si>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</si>
  <si>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</si>
  <si>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</si>
  <si>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</si>
  <si>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</si>
  <si>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</si>
  <si>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</si>
  <si>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</si>
  <si>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</si>
  <si>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</si>
  <si>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</si>
  <si>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</si>
  <si>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</si>
  <si>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</si>
  <si>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</si>
  <si>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</si>
  <si>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</si>
  <si>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</si>
  <si>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</si>
  <si>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</si>
  <si>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</si>
  <si>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</si>
  <si>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</si>
  <si>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</si>
  <si>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</si>
  <si>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</si>
  <si>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</si>
  <si>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</si>
  <si>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</si>
  <si>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</si>
  <si>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</si>
  <si>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</si>
  <si>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</si>
  <si>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</si>
  <si>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</si>
  <si>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</si>
  <si>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</si>
  <si>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</si>
  <si>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</si>
  <si>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</si>
  <si>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</si>
  <si>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</si>
  <si>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</si>
  <si>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</si>
  <si>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</si>
  <si>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</si>
  <si>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</si>
  <si>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</si>
  <si>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</si>
  <si>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</si>
  <si>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</si>
  <si>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</si>
  <si>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</si>
  <si>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</si>
  <si>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</si>
  <si>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</si>
  <si>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</si>
  <si>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</si>
  <si>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</si>
  <si>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</si>
  <si>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</si>
  <si>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</si>
  <si>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</si>
  <si>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</si>
  <si>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</si>
  <si>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</si>
  <si>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</si>
  <si>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</si>
  <si>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</si>
  <si>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</si>
  <si>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</si>
  <si>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</si>
  <si>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</si>
  <si>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</si>
  <si>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</si>
  <si>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</si>
  <si>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</si>
  <si>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</si>
  <si>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</si>
  <si>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</si>
  <si>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</si>
  <si>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</si>
  <si>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</si>
  <si>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</si>
  <si>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</si>
  <si>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</si>
  <si>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</si>
  <si>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</si>
  <si>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</si>
  <si>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</si>
  <si>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</si>
  <si>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</si>
  <si>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</si>
  <si>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</si>
  <si>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</si>
  <si>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</si>
  <si>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</si>
  <si>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</si>
  <si>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</si>
  <si>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</si>
  <si>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</si>
  <si>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</si>
  <si>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</si>
  <si>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</si>
  <si>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</si>
  <si>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</si>
  <si>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</si>
  <si>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</si>
  <si>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</si>
  <si>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</si>
  <si>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</si>
  <si>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</si>
  <si>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</si>
  <si>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</si>
  <si>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</si>
  <si>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</si>
  <si>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</si>
  <si>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</si>
  <si>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</si>
  <si>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</si>
  <si>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</si>
  <si>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</si>
  <si>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</si>
  <si>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</si>
  <si>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</si>
  <si>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</si>
  <si>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</si>
  <si>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</si>
  <si>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</si>
  <si>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</si>
  <si>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</si>
  <si>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</si>
  <si>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</si>
  <si>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</si>
  <si>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</si>
  <si>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</si>
  <si>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</si>
  <si>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</si>
  <si>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</si>
  <si>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</si>
  <si>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</si>
  <si>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</si>
  <si>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</si>
  <si>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</si>
  <si>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</si>
  <si>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</si>
  <si>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</si>
  <si>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</si>
  <si>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</si>
  <si>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</si>
  <si>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</si>
  <si>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</si>
  <si>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</si>
  <si>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</si>
  <si>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</si>
  <si>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</si>
  <si>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</si>
  <si>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</si>
  <si>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</si>
  <si>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</si>
  <si>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</si>
  <si>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</si>
  <si>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</si>
  <si>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</si>
  <si>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</si>
  <si>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</si>
  <si>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</si>
  <si>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</si>
  <si>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</si>
  <si>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</si>
  <si>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</si>
  <si>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</si>
  <si>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</si>
  <si>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</si>
  <si>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</si>
  <si>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</si>
  <si>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</si>
  <si>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</si>
  <si>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</si>
  <si>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Hillsboro-Deering School Disitrict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</si>
</sst>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zoomScale="110" zoomScaleNormal="110" workbookViewId="0">
      <pane xSplit="5" ySplit="3" topLeftCell="F559" activePane="bottomRight" state="frozen"/>
      <selection pane="topRight" activeCell="F1" sqref="F1"/>
      <selection pane="bottomLeft" activeCell="A4" sqref="A4"/>
      <selection pane="bottomRight" activeCell="G324" sqref="G324"/>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251</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-5180.36+711413.53+294</f>
        <v>706527.17</v>
      </c>
      <c r="G9" s="18"/>
      <c r="H9" s="18"/>
      <c r="I9" s="18"/>
      <c r="J9" s="67">
        <f>SUM(I440)</f>
        <v>1190098.92</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767717.5</v>
      </c>
      <c r="G12" s="18">
        <v>-125086.73</v>
      </c>
      <c r="H12" s="18">
        <v>-372508.53</v>
      </c>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1060088.04</v>
      </c>
      <c r="G13" s="18">
        <v>126953.67</v>
      </c>
      <c r="H13" s="18">
        <v>381237.46</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28896.86</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2340</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2565569.5699999998</v>
      </c>
      <c r="G19" s="41">
        <f>SUM(G9:G18)</f>
        <v>1866.9400000000023</v>
      </c>
      <c r="H19" s="41">
        <f>SUM(H9:H18)</f>
        <v>8728.929999999993</v>
      </c>
      <c r="I19" s="41">
        <f>SUM(I9:I18)</f>
        <v>0</v>
      </c>
      <c r="J19" s="41">
        <f>SUM(J9:J18)</f>
        <v>1190098.92</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f>18327.41+527885.52</f>
        <v>546212.93000000005</v>
      </c>
      <c r="G24" s="18">
        <v>1866.94</v>
      </c>
      <c r="H24" s="18">
        <f>192.61+8536.32</f>
        <v>8728.93</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v>-44329.43</v>
      </c>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501883.50000000006</v>
      </c>
      <c r="G32" s="41">
        <f>SUM(G22:G31)</f>
        <v>1866.94</v>
      </c>
      <c r="H32" s="41">
        <f>SUM(H22:H31)</f>
        <v>8728.93</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130000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v>0</v>
      </c>
      <c r="I48" s="18">
        <v>0</v>
      </c>
      <c r="J48" s="13">
        <f>SUM(I460)</f>
        <v>1190098.92</v>
      </c>
      <c r="K48" s="24" t="s">
        <v>288</v>
      </c>
      <c r="L48" s="24" t="s">
        <v>288</v>
      </c>
      <c r="M48" s="8"/>
      <c r="N48" s="264"/>
    </row>
    <row r="49" spans="1:14" s="3" customFormat="1" ht="12.2" customHeight="1" x14ac:dyDescent="0.15">
      <c r="A49" s="1" t="s">
        <v>859</v>
      </c>
      <c r="B49" s="2" t="s">
        <v>289</v>
      </c>
      <c r="C49" s="6">
        <v>34</v>
      </c>
      <c r="D49" s="2"/>
      <c r="E49" s="6">
        <v>753</v>
      </c>
      <c r="F49" s="18">
        <v>500361.23</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F19-F32-F44-F49</f>
        <v>1433324.8399999999</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2063686.0699999998</v>
      </c>
      <c r="G51" s="41">
        <f>SUM(G35:G50)</f>
        <v>0</v>
      </c>
      <c r="H51" s="41">
        <f>SUM(H35:H50)</f>
        <v>0</v>
      </c>
      <c r="I51" s="41">
        <f>SUM(I35:I50)</f>
        <v>0</v>
      </c>
      <c r="J51" s="41">
        <f>SUM(J35:J50)</f>
        <v>1190098.92</v>
      </c>
      <c r="K51" s="45" t="s">
        <v>288</v>
      </c>
      <c r="L51" s="45" t="s">
        <v>288</v>
      </c>
      <c r="N51" s="262"/>
    </row>
    <row r="52" spans="1:14" s="3" customFormat="1" ht="12.2" customHeight="1" thickTop="1" x14ac:dyDescent="0.15">
      <c r="A52" s="38" t="s">
        <v>455</v>
      </c>
      <c r="B52" s="39" t="s">
        <v>289</v>
      </c>
      <c r="C52" s="6">
        <v>37</v>
      </c>
      <c r="D52" s="39" t="s">
        <v>653</v>
      </c>
      <c r="E52" s="39"/>
      <c r="F52" s="41">
        <f>F51+F32</f>
        <v>2565569.5699999998</v>
      </c>
      <c r="G52" s="41">
        <f>G51+G32</f>
        <v>1866.94</v>
      </c>
      <c r="H52" s="41">
        <f>H51+H32</f>
        <v>8728.93</v>
      </c>
      <c r="I52" s="41">
        <f>I51+I32</f>
        <v>0</v>
      </c>
      <c r="J52" s="41">
        <f>J51+J32</f>
        <v>1190098.92</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f>9054507+3656300</f>
        <v>12710807</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12710807</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f>1537944.65+242475.61+27462.2</f>
        <v>1807882.4599999997</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1807882.4599999997</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v>9388</v>
      </c>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9388</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1612.69</v>
      </c>
      <c r="G96" s="18"/>
      <c r="H96" s="18"/>
      <c r="I96" s="18"/>
      <c r="J96" s="18"/>
      <c r="K96" s="24" t="s">
        <v>288</v>
      </c>
      <c r="L96" s="24" t="s">
        <v>288</v>
      </c>
      <c r="M96" s="8"/>
      <c r="N96" s="264"/>
    </row>
    <row r="97" spans="1:14" s="3" customFormat="1" ht="12.2" customHeight="1" x14ac:dyDescent="0.15">
      <c r="A97" s="1" t="s">
        <v>503</v>
      </c>
      <c r="B97" s="2" t="s">
        <v>315</v>
      </c>
      <c r="C97" s="6">
        <v>12</v>
      </c>
      <c r="D97" s="2" t="s">
        <v>430</v>
      </c>
      <c r="E97" s="6">
        <v>1600</v>
      </c>
      <c r="F97" s="24" t="s">
        <v>288</v>
      </c>
      <c r="G97" s="18">
        <v>29677.85</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40000</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199854.16</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241466.85</v>
      </c>
      <c r="G111" s="41">
        <f>SUM(G96:G110)</f>
        <v>29677.85</v>
      </c>
      <c r="H111" s="41">
        <f>SUM(H96:H110)</f>
        <v>0</v>
      </c>
      <c r="I111" s="41">
        <f>SUM(I96:I110)</f>
        <v>0</v>
      </c>
      <c r="J111" s="41">
        <f>SUM(J96:J110)</f>
        <v>0</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14769544.309999999</v>
      </c>
      <c r="G112" s="41">
        <f>G60+G111</f>
        <v>29677.85</v>
      </c>
      <c r="H112" s="41">
        <f>H60+H79+H94+H111</f>
        <v>0</v>
      </c>
      <c r="I112" s="41">
        <f>I60+I111</f>
        <v>0</v>
      </c>
      <c r="J112" s="41">
        <f>J60+J111</f>
        <v>0</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7155648.2999999998</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1401423</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291.89999999999998</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8557363.2000000011</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342730.58</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63395.51</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13558.08</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8016.96</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419684.17000000004</v>
      </c>
      <c r="G136" s="41">
        <f>SUM(G123:G135)</f>
        <v>8016.96</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8977047.370000001</v>
      </c>
      <c r="G140" s="41">
        <f>G121+SUM(G136:G137)</f>
        <v>8016.96</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264310.90000000002</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446302.9-109375.51</f>
        <v>336927.39</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388827.87</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109375.51</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129266.35</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231161</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26600.34</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129266.35</v>
      </c>
      <c r="G163" s="41">
        <f>SUM(G150:G162)</f>
        <v>388827.87</v>
      </c>
      <c r="H163" s="41">
        <f>SUM(H150:H162)</f>
        <v>968375.14</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129266.35</v>
      </c>
      <c r="G170" s="41">
        <f>G147+G163+SUM(G164:G169)</f>
        <v>388827.87</v>
      </c>
      <c r="H170" s="41">
        <f>H147+H163+SUM(H164:H169)</f>
        <v>968375.14</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50000</v>
      </c>
      <c r="H180" s="18"/>
      <c r="I180" s="18"/>
      <c r="J180" s="18">
        <v>200000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50000</v>
      </c>
      <c r="H184" s="41">
        <f>SUM(H180:H183)</f>
        <v>0</v>
      </c>
      <c r="I184" s="41">
        <f>SUM(I180:I183)</f>
        <v>0</v>
      </c>
      <c r="J184" s="41">
        <f>SUM(J180:J183)</f>
        <v>200000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50000</v>
      </c>
      <c r="H193" s="41">
        <f>+H184+SUM(H189:H192)</f>
        <v>0</v>
      </c>
      <c r="I193" s="41">
        <f>I178+I184+SUM(I189:I192)</f>
        <v>0</v>
      </c>
      <c r="J193" s="41">
        <f>J184</f>
        <v>200000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23875858.030000001</v>
      </c>
      <c r="G194" s="47">
        <f>G112+G140+G170+G193</f>
        <v>476522.68</v>
      </c>
      <c r="H194" s="47">
        <f>H112+H140+H170+H193</f>
        <v>968375.14</v>
      </c>
      <c r="I194" s="47">
        <f>I112+I140+I170+I193</f>
        <v>0</v>
      </c>
      <c r="J194" s="47">
        <f>J112+J140+J193</f>
        <v>200000</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2123565.07+1174.95</f>
        <v>2124740.02</v>
      </c>
      <c r="G198" s="18">
        <f>903058.07+89.88</f>
        <v>903147.95</v>
      </c>
      <c r="H198" s="18">
        <v>570.88</v>
      </c>
      <c r="I198" s="18">
        <v>81525.5</v>
      </c>
      <c r="J198" s="18">
        <v>8929.76</v>
      </c>
      <c r="K198" s="18"/>
      <c r="L198" s="19">
        <f>SUM(F198:K198)</f>
        <v>3118914.1099999994</v>
      </c>
      <c r="M198" s="8"/>
      <c r="N198" s="264"/>
    </row>
    <row r="199" spans="1:14" s="3" customFormat="1" ht="12.2" customHeight="1" x14ac:dyDescent="0.15">
      <c r="A199" s="1" t="s">
        <v>439</v>
      </c>
      <c r="B199" s="2" t="s">
        <v>341</v>
      </c>
      <c r="C199" s="2" t="s">
        <v>291</v>
      </c>
      <c r="D199" s="2" t="s">
        <v>431</v>
      </c>
      <c r="E199" s="6">
        <v>1200</v>
      </c>
      <c r="F199" s="18">
        <v>1011583.28</v>
      </c>
      <c r="G199" s="18">
        <v>636325.05000000005</v>
      </c>
      <c r="H199" s="18">
        <f>255222.08+5542.26+77.4</f>
        <v>260841.74</v>
      </c>
      <c r="I199" s="18">
        <v>11568.45</v>
      </c>
      <c r="J199" s="18">
        <v>0</v>
      </c>
      <c r="K199" s="18">
        <v>15</v>
      </c>
      <c r="L199" s="19">
        <f>SUM(F199:K199)</f>
        <v>1920333.52</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825</v>
      </c>
      <c r="G201" s="18">
        <v>209.04</v>
      </c>
      <c r="H201" s="18"/>
      <c r="I201" s="18"/>
      <c r="J201" s="18"/>
      <c r="K201" s="18"/>
      <c r="L201" s="19">
        <f>SUM(F201:K201)</f>
        <v>1034.04</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650913.35+648+10189.18</f>
        <v>661750.53</v>
      </c>
      <c r="G203" s="18">
        <f>265414.99+7074.26</f>
        <v>272489.25</v>
      </c>
      <c r="H203" s="18">
        <v>47428.57</v>
      </c>
      <c r="I203" s="18">
        <v>7563.49</v>
      </c>
      <c r="J203" s="18">
        <v>0</v>
      </c>
      <c r="K203" s="18">
        <v>398</v>
      </c>
      <c r="L203" s="19">
        <f t="shared" ref="L203:L209" si="0">SUM(F203:K203)</f>
        <v>989629.84</v>
      </c>
      <c r="M203" s="8"/>
      <c r="N203" s="264"/>
    </row>
    <row r="204" spans="1:14" s="3" customFormat="1" ht="12.2" customHeight="1" x14ac:dyDescent="0.15">
      <c r="A204" s="1" t="s">
        <v>443</v>
      </c>
      <c r="B204" s="2" t="s">
        <v>341</v>
      </c>
      <c r="C204" s="2" t="s">
        <v>295</v>
      </c>
      <c r="D204" s="2" t="s">
        <v>431</v>
      </c>
      <c r="E204" s="6">
        <v>2200</v>
      </c>
      <c r="F204" s="18">
        <f>84324+61020.76</f>
        <v>145344.76</v>
      </c>
      <c r="G204" s="18">
        <f>22144.69+42991.7</f>
        <v>65136.39</v>
      </c>
      <c r="H204" s="18">
        <f>334.55+29057.69</f>
        <v>29392.239999999998</v>
      </c>
      <c r="I204" s="18">
        <f>11227.34+68373.54</f>
        <v>79600.87999999999</v>
      </c>
      <c r="J204" s="18">
        <f>4774+66890.77</f>
        <v>71664.77</v>
      </c>
      <c r="K204" s="18">
        <v>1405.8</v>
      </c>
      <c r="L204" s="19">
        <f t="shared" si="0"/>
        <v>392544.84</v>
      </c>
      <c r="M204" s="8"/>
      <c r="N204" s="264"/>
    </row>
    <row r="205" spans="1:14" s="3" customFormat="1" ht="12.2" customHeight="1" x14ac:dyDescent="0.15">
      <c r="A205" s="1" t="s">
        <v>444</v>
      </c>
      <c r="B205" s="2" t="s">
        <v>341</v>
      </c>
      <c r="C205" s="2" t="s">
        <v>296</v>
      </c>
      <c r="D205" s="2" t="s">
        <v>431</v>
      </c>
      <c r="E205" s="6">
        <v>2300</v>
      </c>
      <c r="F205" s="18">
        <v>3312</v>
      </c>
      <c r="G205" s="18">
        <v>16313.64</v>
      </c>
      <c r="H205" s="18">
        <v>390699.41</v>
      </c>
      <c r="I205" s="18">
        <v>0</v>
      </c>
      <c r="J205" s="18">
        <v>0</v>
      </c>
      <c r="K205" s="18">
        <v>5810.2</v>
      </c>
      <c r="L205" s="19">
        <f t="shared" si="0"/>
        <v>416135.25</v>
      </c>
      <c r="M205" s="8"/>
      <c r="N205" s="264"/>
    </row>
    <row r="206" spans="1:14" s="3" customFormat="1" ht="12.2" customHeight="1" x14ac:dyDescent="0.15">
      <c r="A206" s="1" t="s">
        <v>445</v>
      </c>
      <c r="B206" s="2" t="s">
        <v>341</v>
      </c>
      <c r="C206" s="2" t="s">
        <v>297</v>
      </c>
      <c r="D206" s="2" t="s">
        <v>431</v>
      </c>
      <c r="E206" s="6">
        <v>2400</v>
      </c>
      <c r="F206" s="18">
        <v>274417.28999999998</v>
      </c>
      <c r="G206" s="18">
        <v>92049.98</v>
      </c>
      <c r="H206" s="18">
        <v>3309.56</v>
      </c>
      <c r="I206" s="18">
        <v>3243.4</v>
      </c>
      <c r="J206" s="18">
        <v>0</v>
      </c>
      <c r="K206" s="18">
        <v>3310</v>
      </c>
      <c r="L206" s="19">
        <f t="shared" si="0"/>
        <v>376330.23</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59974.75</v>
      </c>
      <c r="G208" s="18">
        <v>25736.62</v>
      </c>
      <c r="H208" s="18">
        <v>504293.85</v>
      </c>
      <c r="I208" s="18">
        <v>150359.70000000001</v>
      </c>
      <c r="J208" s="18">
        <v>5018.5</v>
      </c>
      <c r="K208" s="18">
        <v>0</v>
      </c>
      <c r="L208" s="19">
        <f t="shared" si="0"/>
        <v>745383.41999999993</v>
      </c>
      <c r="M208" s="8"/>
      <c r="N208" s="264"/>
    </row>
    <row r="209" spans="1:14" s="3" customFormat="1" ht="12.2" customHeight="1" x14ac:dyDescent="0.15">
      <c r="A209" s="1" t="s">
        <v>448</v>
      </c>
      <c r="B209" s="2" t="s">
        <v>341</v>
      </c>
      <c r="C209" s="2" t="s">
        <v>300</v>
      </c>
      <c r="D209" s="2" t="s">
        <v>431</v>
      </c>
      <c r="E209" s="6">
        <v>2700</v>
      </c>
      <c r="F209" s="18"/>
      <c r="G209" s="18"/>
      <c r="H209" s="18">
        <f>3714.25+270606.45</f>
        <v>274320.7</v>
      </c>
      <c r="I209" s="18"/>
      <c r="J209" s="18"/>
      <c r="K209" s="18"/>
      <c r="L209" s="19">
        <f t="shared" si="0"/>
        <v>274320.7</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4281947.63</v>
      </c>
      <c r="G212" s="41">
        <f t="shared" si="1"/>
        <v>2011407.92</v>
      </c>
      <c r="H212" s="41">
        <f t="shared" si="1"/>
        <v>1510856.95</v>
      </c>
      <c r="I212" s="41">
        <f t="shared" si="1"/>
        <v>333861.42000000004</v>
      </c>
      <c r="J212" s="41">
        <f t="shared" si="1"/>
        <v>85613.03</v>
      </c>
      <c r="K212" s="41">
        <f t="shared" si="1"/>
        <v>10939</v>
      </c>
      <c r="L212" s="41">
        <f t="shared" si="1"/>
        <v>8234625.9499999983</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f>1367445.94+848.58</f>
        <v>1368294.52</v>
      </c>
      <c r="G216" s="18">
        <f>659768.36+64.91</f>
        <v>659833.27</v>
      </c>
      <c r="H216" s="18">
        <v>2663</v>
      </c>
      <c r="I216" s="18">
        <v>96636.26</v>
      </c>
      <c r="J216" s="18">
        <v>4228.8599999999997</v>
      </c>
      <c r="K216" s="18">
        <v>10245.42</v>
      </c>
      <c r="L216" s="19">
        <f>SUM(F216:K216)</f>
        <v>2141901.3299999996</v>
      </c>
      <c r="M216" s="8"/>
      <c r="N216" s="264"/>
    </row>
    <row r="217" spans="1:14" s="3" customFormat="1" ht="12.2" customHeight="1" x14ac:dyDescent="0.15">
      <c r="A217" s="1" t="s">
        <v>439</v>
      </c>
      <c r="B217" s="2" t="s">
        <v>346</v>
      </c>
      <c r="C217" s="2" t="s">
        <v>291</v>
      </c>
      <c r="D217" s="2" t="s">
        <v>431</v>
      </c>
      <c r="E217" s="6">
        <v>1200</v>
      </c>
      <c r="F217" s="18">
        <v>536218.71</v>
      </c>
      <c r="G217" s="18">
        <v>307906.36</v>
      </c>
      <c r="H217" s="18">
        <f>26.25+4002.74+55.9</f>
        <v>4084.89</v>
      </c>
      <c r="I217" s="18">
        <v>2568.6</v>
      </c>
      <c r="J217" s="18">
        <v>614.99</v>
      </c>
      <c r="K217" s="18">
        <v>15</v>
      </c>
      <c r="L217" s="19">
        <f>SUM(F217:K217)</f>
        <v>851408.54999999993</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v>15302.5</v>
      </c>
      <c r="G219" s="18">
        <v>3322.35</v>
      </c>
      <c r="H219" s="18">
        <v>21496</v>
      </c>
      <c r="I219" s="18">
        <v>6494.99</v>
      </c>
      <c r="J219" s="18">
        <v>0</v>
      </c>
      <c r="K219" s="18">
        <v>100</v>
      </c>
      <c r="L219" s="19">
        <f>SUM(F219:K219)</f>
        <v>46715.839999999997</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f>228325.91+468+7358.86</f>
        <v>236152.77</v>
      </c>
      <c r="G221" s="18">
        <f>116368.13+5109.19</f>
        <v>121477.32</v>
      </c>
      <c r="H221" s="18">
        <f>870.33+34253.97</f>
        <v>35124.300000000003</v>
      </c>
      <c r="I221" s="18">
        <v>2592.08</v>
      </c>
      <c r="J221" s="18">
        <v>0</v>
      </c>
      <c r="K221" s="18">
        <v>0</v>
      </c>
      <c r="L221" s="19">
        <f t="shared" ref="L221:L227" si="2">SUM(F221:K221)</f>
        <v>395346.47</v>
      </c>
      <c r="M221" s="8"/>
      <c r="N221" s="264"/>
    </row>
    <row r="222" spans="1:14" s="3" customFormat="1" ht="12.2" customHeight="1" x14ac:dyDescent="0.15">
      <c r="A222" s="1" t="s">
        <v>443</v>
      </c>
      <c r="B222" s="2" t="s">
        <v>346</v>
      </c>
      <c r="C222" s="2" t="s">
        <v>295</v>
      </c>
      <c r="D222" s="2" t="s">
        <v>431</v>
      </c>
      <c r="E222" s="6">
        <v>2200</v>
      </c>
      <c r="F222" s="18">
        <f>73479+44070.55</f>
        <v>117549.55</v>
      </c>
      <c r="G222" s="18">
        <f>36136.91+31049.56</f>
        <v>67186.47</v>
      </c>
      <c r="H222" s="18">
        <f>373.9+20986.11</f>
        <v>21360.010000000002</v>
      </c>
      <c r="I222" s="18">
        <f>7578.68+49380.89</f>
        <v>56959.57</v>
      </c>
      <c r="J222" s="18">
        <v>48310</v>
      </c>
      <c r="K222" s="18">
        <f>454.57+1015.3</f>
        <v>1469.87</v>
      </c>
      <c r="L222" s="19">
        <f t="shared" si="2"/>
        <v>312835.47000000003</v>
      </c>
      <c r="M222" s="8"/>
      <c r="N222" s="264"/>
    </row>
    <row r="223" spans="1:14" s="3" customFormat="1" ht="12.2" customHeight="1" x14ac:dyDescent="0.15">
      <c r="A223" s="1" t="s">
        <v>444</v>
      </c>
      <c r="B223" s="2" t="s">
        <v>346</v>
      </c>
      <c r="C223" s="2" t="s">
        <v>296</v>
      </c>
      <c r="D223" s="2" t="s">
        <v>431</v>
      </c>
      <c r="E223" s="6">
        <v>2300</v>
      </c>
      <c r="F223" s="18">
        <v>2392</v>
      </c>
      <c r="G223" s="18">
        <v>11782.08</v>
      </c>
      <c r="H223" s="18">
        <v>282171.8</v>
      </c>
      <c r="I223" s="18">
        <v>0</v>
      </c>
      <c r="J223" s="18">
        <v>0</v>
      </c>
      <c r="K223" s="18">
        <v>4196.25</v>
      </c>
      <c r="L223" s="19">
        <f t="shared" si="2"/>
        <v>300542.13</v>
      </c>
      <c r="M223" s="8"/>
      <c r="N223" s="264"/>
    </row>
    <row r="224" spans="1:14" s="3" customFormat="1" ht="12.2" customHeight="1" x14ac:dyDescent="0.15">
      <c r="A224" s="1" t="s">
        <v>445</v>
      </c>
      <c r="B224" s="2" t="s">
        <v>346</v>
      </c>
      <c r="C224" s="2" t="s">
        <v>297</v>
      </c>
      <c r="D224" s="2" t="s">
        <v>431</v>
      </c>
      <c r="E224" s="6">
        <v>2400</v>
      </c>
      <c r="F224" s="18">
        <v>241501.53</v>
      </c>
      <c r="G224" s="18">
        <v>100675.06</v>
      </c>
      <c r="H224" s="18">
        <v>3038.99</v>
      </c>
      <c r="I224" s="18">
        <v>0</v>
      </c>
      <c r="J224" s="18">
        <v>0</v>
      </c>
      <c r="K224" s="18">
        <v>560</v>
      </c>
      <c r="L224" s="19">
        <f t="shared" si="2"/>
        <v>345775.57999999996</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v>43315.1</v>
      </c>
      <c r="G226" s="18">
        <v>18587.560000000001</v>
      </c>
      <c r="H226" s="18">
        <v>364212.23</v>
      </c>
      <c r="I226" s="18">
        <v>108593.12</v>
      </c>
      <c r="J226" s="18">
        <v>3624.47</v>
      </c>
      <c r="K226" s="18">
        <v>0</v>
      </c>
      <c r="L226" s="19">
        <f t="shared" si="2"/>
        <v>538332.48</v>
      </c>
      <c r="M226" s="8"/>
      <c r="N226" s="264"/>
    </row>
    <row r="227" spans="1:14" s="3" customFormat="1" ht="12.2" customHeight="1" x14ac:dyDescent="0.15">
      <c r="A227" s="1" t="s">
        <v>448</v>
      </c>
      <c r="B227" s="2" t="s">
        <v>346</v>
      </c>
      <c r="C227" s="2" t="s">
        <v>300</v>
      </c>
      <c r="D227" s="2" t="s">
        <v>431</v>
      </c>
      <c r="E227" s="6">
        <v>2700</v>
      </c>
      <c r="F227" s="18"/>
      <c r="G227" s="18"/>
      <c r="H227" s="18">
        <f>1399.71+195437.99</f>
        <v>196837.69999999998</v>
      </c>
      <c r="I227" s="18"/>
      <c r="J227" s="18"/>
      <c r="K227" s="18"/>
      <c r="L227" s="19">
        <f t="shared" si="2"/>
        <v>196837.69999999998</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2560726.6799999997</v>
      </c>
      <c r="G230" s="41">
        <f>SUM(G216:G229)</f>
        <v>1290770.4700000002</v>
      </c>
      <c r="H230" s="41">
        <f>SUM(H216:H229)</f>
        <v>930988.91999999993</v>
      </c>
      <c r="I230" s="41">
        <f>SUM(I216:I229)</f>
        <v>273844.62</v>
      </c>
      <c r="J230" s="41">
        <f>SUM(J216:J229)</f>
        <v>56778.32</v>
      </c>
      <c r="K230" s="41">
        <f t="shared" si="3"/>
        <v>16586.54</v>
      </c>
      <c r="L230" s="41">
        <f t="shared" si="3"/>
        <v>5129695.55</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f>1953740.05+1240.23</f>
        <v>1954980.28</v>
      </c>
      <c r="G234" s="18">
        <f>933328.03+94.87</f>
        <v>933422.9</v>
      </c>
      <c r="H234" s="18">
        <v>15668.98</v>
      </c>
      <c r="I234" s="18">
        <v>61205.91</v>
      </c>
      <c r="J234" s="18">
        <v>8718.89</v>
      </c>
      <c r="K234" s="18">
        <v>18624.61</v>
      </c>
      <c r="L234" s="19">
        <f>SUM(F234:K234)</f>
        <v>2992621.5700000003</v>
      </c>
      <c r="M234" s="8"/>
      <c r="N234" s="264"/>
    </row>
    <row r="235" spans="1:14" s="3" customFormat="1" ht="12.2" customHeight="1" x14ac:dyDescent="0.15">
      <c r="A235" s="1" t="s">
        <v>439</v>
      </c>
      <c r="B235" s="2" t="s">
        <v>350</v>
      </c>
      <c r="C235" s="2" t="s">
        <v>291</v>
      </c>
      <c r="D235" s="2" t="s">
        <v>431</v>
      </c>
      <c r="E235" s="6">
        <v>1200</v>
      </c>
      <c r="F235" s="18">
        <v>993065.93</v>
      </c>
      <c r="G235" s="18">
        <v>499687.37</v>
      </c>
      <c r="H235" s="18">
        <f>292363.49+5850.16+94.87</f>
        <v>298308.51999999996</v>
      </c>
      <c r="I235" s="18">
        <v>4530.22</v>
      </c>
      <c r="J235" s="18">
        <v>802.38</v>
      </c>
      <c r="K235" s="18">
        <v>15</v>
      </c>
      <c r="L235" s="19">
        <f>SUM(F235:K235)</f>
        <v>1796409.42</v>
      </c>
      <c r="M235" s="8"/>
      <c r="N235" s="264"/>
    </row>
    <row r="236" spans="1:14" s="3" customFormat="1" ht="12.2" customHeight="1" x14ac:dyDescent="0.15">
      <c r="A236" s="1" t="s">
        <v>440</v>
      </c>
      <c r="B236" s="2" t="s">
        <v>350</v>
      </c>
      <c r="C236" s="2" t="s">
        <v>292</v>
      </c>
      <c r="D236" s="2" t="s">
        <v>431</v>
      </c>
      <c r="E236" s="6">
        <v>1300</v>
      </c>
      <c r="F236" s="18"/>
      <c r="G236" s="18"/>
      <c r="H236" s="18">
        <v>59800.6</v>
      </c>
      <c r="I236" s="18"/>
      <c r="J236" s="18"/>
      <c r="K236" s="18"/>
      <c r="L236" s="19">
        <f>SUM(F236:K236)</f>
        <v>59800.6</v>
      </c>
      <c r="M236" s="8"/>
      <c r="N236" s="264"/>
    </row>
    <row r="237" spans="1:14" s="3" customFormat="1" ht="12.2" customHeight="1" x14ac:dyDescent="0.15">
      <c r="A237" s="1" t="s">
        <v>441</v>
      </c>
      <c r="B237" s="2" t="s">
        <v>350</v>
      </c>
      <c r="C237" s="2" t="s">
        <v>293</v>
      </c>
      <c r="D237" s="2" t="s">
        <v>431</v>
      </c>
      <c r="E237" s="6">
        <v>1400</v>
      </c>
      <c r="F237" s="18">
        <v>153704.07</v>
      </c>
      <c r="G237" s="18">
        <v>43244.88</v>
      </c>
      <c r="H237" s="18">
        <v>10996</v>
      </c>
      <c r="I237" s="18">
        <v>33819.97</v>
      </c>
      <c r="J237" s="18">
        <v>7749.03</v>
      </c>
      <c r="K237" s="18">
        <v>15921</v>
      </c>
      <c r="L237" s="19">
        <f>SUM(F237:K237)</f>
        <v>265434.95</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f>443696.04+684+10755.25</f>
        <v>455135.29</v>
      </c>
      <c r="G239" s="18">
        <f>176606.39+7467.27</f>
        <v>184073.66</v>
      </c>
      <c r="H239" s="18">
        <f>59637.36+50063.49</f>
        <v>109700.85</v>
      </c>
      <c r="I239" s="18">
        <v>4978.22</v>
      </c>
      <c r="J239" s="18">
        <v>419.92</v>
      </c>
      <c r="K239" s="18">
        <v>0</v>
      </c>
      <c r="L239" s="19">
        <f t="shared" ref="L239:L245" si="4">SUM(F239:K239)</f>
        <v>754307.94</v>
      </c>
      <c r="M239" s="8"/>
      <c r="N239" s="264"/>
    </row>
    <row r="240" spans="1:14" s="3" customFormat="1" ht="12.2" customHeight="1" x14ac:dyDescent="0.15">
      <c r="A240" s="1" t="s">
        <v>443</v>
      </c>
      <c r="B240" s="2" t="s">
        <v>350</v>
      </c>
      <c r="C240" s="2" t="s">
        <v>295</v>
      </c>
      <c r="D240" s="2" t="s">
        <v>431</v>
      </c>
      <c r="E240" s="6">
        <v>2200</v>
      </c>
      <c r="F240" s="18">
        <f>75925+64410.81</f>
        <v>140335.81</v>
      </c>
      <c r="G240" s="18">
        <f>19075.34+45380.13</f>
        <v>64455.47</v>
      </c>
      <c r="H240" s="18">
        <v>30672.01</v>
      </c>
      <c r="I240" s="18">
        <f>10378.75+72172.07</f>
        <v>82550.820000000007</v>
      </c>
      <c r="J240" s="18">
        <f>2702.81+70606.92</f>
        <v>73309.73</v>
      </c>
      <c r="K240" s="18">
        <v>1483.9</v>
      </c>
      <c r="L240" s="19">
        <f t="shared" si="4"/>
        <v>392807.74</v>
      </c>
      <c r="M240" s="8"/>
      <c r="N240" s="264"/>
    </row>
    <row r="241" spans="1:14" s="3" customFormat="1" ht="12.2" customHeight="1" x14ac:dyDescent="0.15">
      <c r="A241" s="1" t="s">
        <v>444</v>
      </c>
      <c r="B241" s="2" t="s">
        <v>350</v>
      </c>
      <c r="C241" s="2" t="s">
        <v>296</v>
      </c>
      <c r="D241" s="2" t="s">
        <v>431</v>
      </c>
      <c r="E241" s="6">
        <v>2300</v>
      </c>
      <c r="F241" s="18">
        <v>3496</v>
      </c>
      <c r="G241" s="18">
        <v>17219.96</v>
      </c>
      <c r="H241" s="18">
        <v>412404.94</v>
      </c>
      <c r="I241" s="18">
        <v>0</v>
      </c>
      <c r="J241" s="18">
        <v>0</v>
      </c>
      <c r="K241" s="18">
        <v>6132.99</v>
      </c>
      <c r="L241" s="19">
        <f t="shared" si="4"/>
        <v>439253.89</v>
      </c>
      <c r="M241" s="8"/>
      <c r="N241" s="264"/>
    </row>
    <row r="242" spans="1:14" s="3" customFormat="1" ht="12.2" customHeight="1" x14ac:dyDescent="0.15">
      <c r="A242" s="1" t="s">
        <v>445</v>
      </c>
      <c r="B242" s="2" t="s">
        <v>350</v>
      </c>
      <c r="C242" s="2" t="s">
        <v>297</v>
      </c>
      <c r="D242" s="2" t="s">
        <v>431</v>
      </c>
      <c r="E242" s="6">
        <v>2400</v>
      </c>
      <c r="F242" s="18">
        <v>289477.99</v>
      </c>
      <c r="G242" s="18">
        <v>158515.21</v>
      </c>
      <c r="H242" s="18">
        <v>4739.8500000000004</v>
      </c>
      <c r="I242" s="18">
        <v>4108.5200000000004</v>
      </c>
      <c r="J242" s="18">
        <v>1100</v>
      </c>
      <c r="K242" s="18">
        <v>32809.800000000003</v>
      </c>
      <c r="L242" s="19">
        <f t="shared" si="4"/>
        <v>490751.36999999994</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v>63306.69</v>
      </c>
      <c r="G244" s="18">
        <v>27166.44</v>
      </c>
      <c r="H244" s="18">
        <f>45200.46+532310.18-13.21</f>
        <v>577497.43000000005</v>
      </c>
      <c r="I244" s="18">
        <v>158713.01999999999</v>
      </c>
      <c r="J244" s="18">
        <v>5297.31</v>
      </c>
      <c r="K244" s="18">
        <v>0</v>
      </c>
      <c r="L244" s="19">
        <f t="shared" si="4"/>
        <v>831980.89000000013</v>
      </c>
      <c r="M244" s="8"/>
      <c r="N244" s="264"/>
    </row>
    <row r="245" spans="1:14" s="3" customFormat="1" ht="12.2" customHeight="1" x14ac:dyDescent="0.15">
      <c r="A245" s="1" t="s">
        <v>448</v>
      </c>
      <c r="B245" s="2" t="s">
        <v>350</v>
      </c>
      <c r="C245" s="2" t="s">
        <v>300</v>
      </c>
      <c r="D245" s="2" t="s">
        <v>431</v>
      </c>
      <c r="E245" s="6">
        <v>2700</v>
      </c>
      <c r="F245" s="18"/>
      <c r="G245" s="18"/>
      <c r="H245" s="18">
        <f>84631.76+285640.14</f>
        <v>370271.9</v>
      </c>
      <c r="I245" s="18"/>
      <c r="J245" s="18"/>
      <c r="K245" s="18"/>
      <c r="L245" s="19">
        <f t="shared" si="4"/>
        <v>370271.9</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4053502.06</v>
      </c>
      <c r="G248" s="41">
        <f t="shared" si="5"/>
        <v>1927785.8899999997</v>
      </c>
      <c r="H248" s="41">
        <f t="shared" si="5"/>
        <v>1890061.08</v>
      </c>
      <c r="I248" s="41">
        <f t="shared" si="5"/>
        <v>349906.68</v>
      </c>
      <c r="J248" s="41">
        <f t="shared" si="5"/>
        <v>97397.26</v>
      </c>
      <c r="K248" s="41">
        <f t="shared" si="5"/>
        <v>74987.3</v>
      </c>
      <c r="L248" s="41">
        <f t="shared" si="5"/>
        <v>8393640.2700000014</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10896176.369999999</v>
      </c>
      <c r="G258" s="41">
        <f t="shared" si="8"/>
        <v>5229964.2799999993</v>
      </c>
      <c r="H258" s="41">
        <f t="shared" si="8"/>
        <v>4331906.95</v>
      </c>
      <c r="I258" s="41">
        <f t="shared" si="8"/>
        <v>957612.72</v>
      </c>
      <c r="J258" s="41">
        <f t="shared" si="8"/>
        <v>239788.61</v>
      </c>
      <c r="K258" s="41">
        <f t="shared" si="8"/>
        <v>102512.84</v>
      </c>
      <c r="L258" s="41">
        <f t="shared" si="8"/>
        <v>21757961.77</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735000</v>
      </c>
      <c r="L261" s="19">
        <f>SUM(F261:K261)</f>
        <v>735000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91875</v>
      </c>
      <c r="L262" s="19">
        <f>SUM(F262:K262)</f>
        <v>91875</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50000</v>
      </c>
      <c r="L264" s="19">
        <f>SUM(F264:K264)</f>
        <v>50000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200000</v>
      </c>
      <c r="L267" s="19">
        <f t="shared" si="9"/>
        <v>200000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1076875</v>
      </c>
      <c r="L271" s="41">
        <f t="shared" si="9"/>
        <v>1076875</v>
      </c>
      <c r="M271" s="8"/>
      <c r="N271" s="264"/>
    </row>
    <row r="272" spans="1:14" s="34" customFormat="1" ht="12.2" customHeight="1" thickTop="1" x14ac:dyDescent="0.2">
      <c r="A272" s="43" t="s">
        <v>464</v>
      </c>
      <c r="B272" s="40">
        <v>10</v>
      </c>
      <c r="C272" s="40">
        <v>18</v>
      </c>
      <c r="D272" s="39" t="s">
        <v>431</v>
      </c>
      <c r="E272" s="40"/>
      <c r="F272" s="42">
        <f t="shared" ref="F272:L272" si="11">F258+F271</f>
        <v>10896176.369999999</v>
      </c>
      <c r="G272" s="42">
        <f t="shared" si="11"/>
        <v>5229964.2799999993</v>
      </c>
      <c r="H272" s="42">
        <f t="shared" si="11"/>
        <v>4331906.95</v>
      </c>
      <c r="I272" s="42">
        <f t="shared" si="11"/>
        <v>957612.72</v>
      </c>
      <c r="J272" s="42">
        <f t="shared" si="11"/>
        <v>239788.61</v>
      </c>
      <c r="K272" s="42">
        <f t="shared" si="11"/>
        <v>1179387.8400000001</v>
      </c>
      <c r="L272" s="42">
        <f t="shared" si="11"/>
        <v>22834836.77</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462456.02</v>
      </c>
      <c r="G277" s="18">
        <v>156062.14000000001</v>
      </c>
      <c r="H277" s="18">
        <v>146050.29</v>
      </c>
      <c r="I277" s="18">
        <v>148474.99</v>
      </c>
      <c r="J277" s="18">
        <v>207071.85</v>
      </c>
      <c r="K277" s="18">
        <v>10208.07</v>
      </c>
      <c r="L277" s="19">
        <f>SUM(F277:K277)</f>
        <v>1130323.3600000001</v>
      </c>
      <c r="M277" s="8"/>
      <c r="N277" s="264"/>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4"/>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462456.02</v>
      </c>
      <c r="G291" s="42">
        <f t="shared" si="13"/>
        <v>156062.14000000001</v>
      </c>
      <c r="H291" s="42">
        <f t="shared" si="13"/>
        <v>146050.29</v>
      </c>
      <c r="I291" s="42">
        <f t="shared" si="13"/>
        <v>148474.99</v>
      </c>
      <c r="J291" s="42">
        <f t="shared" si="13"/>
        <v>207071.85</v>
      </c>
      <c r="K291" s="42">
        <f t="shared" si="13"/>
        <v>10208.07</v>
      </c>
      <c r="L291" s="41">
        <f t="shared" si="13"/>
        <v>1130323.3600000001</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36378.61</v>
      </c>
      <c r="G296" s="18">
        <v>10814.4</v>
      </c>
      <c r="H296" s="18">
        <v>37502.1</v>
      </c>
      <c r="I296" s="18">
        <v>50093.62</v>
      </c>
      <c r="J296" s="18">
        <v>86133.58</v>
      </c>
      <c r="K296" s="18">
        <v>6755.7</v>
      </c>
      <c r="L296" s="19">
        <f>SUM(F296:K296)</f>
        <v>227678.01</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36378.61</v>
      </c>
      <c r="G310" s="42">
        <f t="shared" si="15"/>
        <v>10814.4</v>
      </c>
      <c r="H310" s="42">
        <f t="shared" si="15"/>
        <v>37502.1</v>
      </c>
      <c r="I310" s="42">
        <f t="shared" si="15"/>
        <v>50093.62</v>
      </c>
      <c r="J310" s="42">
        <f t="shared" si="15"/>
        <v>86133.58</v>
      </c>
      <c r="K310" s="42">
        <f t="shared" si="15"/>
        <v>6755.7</v>
      </c>
      <c r="L310" s="41">
        <f t="shared" si="15"/>
        <v>227678.01</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48858.61</v>
      </c>
      <c r="G315" s="18">
        <v>14602.74</v>
      </c>
      <c r="H315" s="18">
        <v>74421.88</v>
      </c>
      <c r="I315" s="18">
        <v>78359.86</v>
      </c>
      <c r="J315" s="18">
        <v>126075.42</v>
      </c>
      <c r="K315" s="18">
        <v>9873.7099999999991</v>
      </c>
      <c r="L315" s="19">
        <f>SUM(F315:K315)</f>
        <v>352192.22000000003</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48858.61</v>
      </c>
      <c r="G329" s="42">
        <f t="shared" si="17"/>
        <v>14602.74</v>
      </c>
      <c r="H329" s="42">
        <f t="shared" si="17"/>
        <v>74421.88</v>
      </c>
      <c r="I329" s="42">
        <f t="shared" si="17"/>
        <v>78359.86</v>
      </c>
      <c r="J329" s="42">
        <f t="shared" si="17"/>
        <v>126075.42</v>
      </c>
      <c r="K329" s="42">
        <f t="shared" si="17"/>
        <v>9873.7099999999991</v>
      </c>
      <c r="L329" s="41">
        <f t="shared" si="17"/>
        <v>352192.22000000003</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547693.24</v>
      </c>
      <c r="G339" s="41">
        <f t="shared" si="20"/>
        <v>181479.28</v>
      </c>
      <c r="H339" s="41">
        <f t="shared" si="20"/>
        <v>257974.27000000002</v>
      </c>
      <c r="I339" s="41">
        <f t="shared" si="20"/>
        <v>276928.46999999997</v>
      </c>
      <c r="J339" s="41">
        <f t="shared" si="20"/>
        <v>419280.85</v>
      </c>
      <c r="K339" s="41">
        <f t="shared" si="20"/>
        <v>26837.48</v>
      </c>
      <c r="L339" s="41">
        <f t="shared" si="20"/>
        <v>1710193.59</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547693.24</v>
      </c>
      <c r="G353" s="41">
        <f>G339</f>
        <v>181479.28</v>
      </c>
      <c r="H353" s="41">
        <f>H339</f>
        <v>257974.27000000002</v>
      </c>
      <c r="I353" s="41">
        <f>I339</f>
        <v>276928.46999999997</v>
      </c>
      <c r="J353" s="41">
        <f>J339</f>
        <v>419280.85</v>
      </c>
      <c r="K353" s="47">
        <f>K339+K352</f>
        <v>26837.48</v>
      </c>
      <c r="L353" s="41">
        <f>L339+L352</f>
        <v>1710193.59</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f>19261.79+66546.81</f>
        <v>85808.6</v>
      </c>
      <c r="G359" s="18">
        <v>67841.77</v>
      </c>
      <c r="H359" s="18">
        <v>2078.86</v>
      </c>
      <c r="I359" s="18">
        <v>91805.58</v>
      </c>
      <c r="J359" s="18">
        <v>2381.4499999999998</v>
      </c>
      <c r="K359" s="18">
        <v>291.25</v>
      </c>
      <c r="L359" s="13">
        <f>SUM(F359:K359)</f>
        <v>250207.51</v>
      </c>
      <c r="M359" s="8"/>
      <c r="N359" s="264"/>
    </row>
    <row r="360" spans="1:22" s="3" customFormat="1" ht="12.2" customHeight="1" x14ac:dyDescent="0.15">
      <c r="A360" s="1" t="s">
        <v>542</v>
      </c>
      <c r="B360" s="2" t="s">
        <v>366</v>
      </c>
      <c r="C360" s="6">
        <v>2</v>
      </c>
      <c r="D360" s="2" t="s">
        <v>431</v>
      </c>
      <c r="E360" s="6"/>
      <c r="F360" s="18">
        <v>68826.259999999995</v>
      </c>
      <c r="G360" s="18">
        <v>18137.68</v>
      </c>
      <c r="H360" s="18">
        <v>1501.4</v>
      </c>
      <c r="I360" s="18">
        <v>99483.41</v>
      </c>
      <c r="J360" s="18">
        <v>1719.94</v>
      </c>
      <c r="K360" s="18">
        <v>210.35</v>
      </c>
      <c r="L360" s="19">
        <f>SUM(F360:K360)</f>
        <v>189879.04000000001</v>
      </c>
      <c r="M360" s="8"/>
      <c r="N360" s="264"/>
    </row>
    <row r="361" spans="1:22" s="3" customFormat="1" ht="12.2" customHeight="1" x14ac:dyDescent="0.15">
      <c r="A361" s="3" t="s">
        <v>543</v>
      </c>
      <c r="B361" s="2" t="s">
        <v>366</v>
      </c>
      <c r="C361" s="6">
        <v>3</v>
      </c>
      <c r="D361" s="2" t="s">
        <v>431</v>
      </c>
      <c r="E361" s="6"/>
      <c r="F361" s="18">
        <v>69853.09</v>
      </c>
      <c r="G361" s="18">
        <v>11197.69</v>
      </c>
      <c r="H361" s="18">
        <v>2194.35</v>
      </c>
      <c r="I361" s="18">
        <v>41216.370000000003</v>
      </c>
      <c r="J361" s="18">
        <v>2513.75</v>
      </c>
      <c r="K361" s="18">
        <v>307.43</v>
      </c>
      <c r="L361" s="19">
        <f>SUM(F361:K361)</f>
        <v>127282.68</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224487.94999999998</v>
      </c>
      <c r="G363" s="47">
        <f t="shared" si="22"/>
        <v>97177.140000000014</v>
      </c>
      <c r="H363" s="47">
        <f t="shared" si="22"/>
        <v>5774.6100000000006</v>
      </c>
      <c r="I363" s="47">
        <f t="shared" si="22"/>
        <v>232505.36</v>
      </c>
      <c r="J363" s="47">
        <f t="shared" si="22"/>
        <v>6615.1399999999994</v>
      </c>
      <c r="K363" s="47">
        <f t="shared" si="22"/>
        <v>809.03</v>
      </c>
      <c r="L363" s="47">
        <f t="shared" si="22"/>
        <v>567369.23</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90744.87</v>
      </c>
      <c r="G368" s="18">
        <v>98717.34</v>
      </c>
      <c r="H368" s="18">
        <v>40096.730000000003</v>
      </c>
      <c r="I368" s="56">
        <f>SUM(F368:H368)</f>
        <v>229558.94</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f>I359-F368</f>
        <v>1060.7100000000064</v>
      </c>
      <c r="G369" s="63">
        <f>I360-G368</f>
        <v>766.07000000000698</v>
      </c>
      <c r="H369" s="63">
        <f>I361-H368</f>
        <v>1119.6399999999994</v>
      </c>
      <c r="I369" s="56">
        <f>SUM(F369:H369)</f>
        <v>2946.4200000000128</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91805.58</v>
      </c>
      <c r="G370" s="47">
        <f>SUM(G368:G369)</f>
        <v>99483.41</v>
      </c>
      <c r="H370" s="47">
        <f>SUM(H368:H369)</f>
        <v>41216.370000000003</v>
      </c>
      <c r="I370" s="47">
        <f>SUM(I368:I369)</f>
        <v>232505.36000000002</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v>0</v>
      </c>
      <c r="G397" s="18">
        <v>75000</v>
      </c>
      <c r="H397" s="18"/>
      <c r="I397" s="18"/>
      <c r="J397" s="24" t="s">
        <v>288</v>
      </c>
      <c r="K397" s="24" t="s">
        <v>288</v>
      </c>
      <c r="L397" s="56">
        <f t="shared" si="26"/>
        <v>75000</v>
      </c>
      <c r="M397" s="8"/>
      <c r="N397" s="264"/>
    </row>
    <row r="398" spans="1:14" s="3" customFormat="1" ht="12.2" customHeight="1" x14ac:dyDescent="0.15">
      <c r="A398" s="79" t="s">
        <v>515</v>
      </c>
      <c r="B398" s="2" t="s">
        <v>381</v>
      </c>
      <c r="C398" s="6">
        <v>10</v>
      </c>
      <c r="D398" s="2" t="s">
        <v>432</v>
      </c>
      <c r="E398" s="6"/>
      <c r="F398" s="18">
        <v>0</v>
      </c>
      <c r="G398" s="18">
        <v>100000</v>
      </c>
      <c r="H398" s="18"/>
      <c r="I398" s="18"/>
      <c r="J398" s="24" t="s">
        <v>288</v>
      </c>
      <c r="K398" s="24" t="s">
        <v>288</v>
      </c>
      <c r="L398" s="56">
        <f t="shared" si="26"/>
        <v>100000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v>25000</v>
      </c>
      <c r="H400" s="18"/>
      <c r="I400" s="18"/>
      <c r="J400" s="24" t="s">
        <v>288</v>
      </c>
      <c r="K400" s="24" t="s">
        <v>288</v>
      </c>
      <c r="L400" s="56">
        <f t="shared" si="26"/>
        <v>25000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200000</v>
      </c>
      <c r="H402" s="47">
        <f>SUM(H396:H401)</f>
        <v>0</v>
      </c>
      <c r="I402" s="47">
        <f>SUM(I396:I401)</f>
        <v>0</v>
      </c>
      <c r="J402" s="45" t="s">
        <v>288</v>
      </c>
      <c r="K402" s="45" t="s">
        <v>288</v>
      </c>
      <c r="L402" s="47">
        <f>SUM(L396:L401)</f>
        <v>200000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200000</v>
      </c>
      <c r="H409" s="47">
        <f>H394+H402+H408</f>
        <v>0</v>
      </c>
      <c r="I409" s="47">
        <f>I394+I402+I408</f>
        <v>0</v>
      </c>
      <c r="J409" s="24" t="s">
        <v>288</v>
      </c>
      <c r="K409" s="24" t="s">
        <v>288</v>
      </c>
      <c r="L409" s="47">
        <f>L394+L402+L408</f>
        <v>200000</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v>1190098.92</v>
      </c>
      <c r="H440" s="18"/>
      <c r="I440" s="56">
        <f t="shared" ref="I440:I446" si="33">SUM(F440:H440)</f>
        <v>1190098.92</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1190098.92</v>
      </c>
      <c r="H447" s="13">
        <f>SUM(H440:H446)</f>
        <v>0</v>
      </c>
      <c r="I447" s="13">
        <f>SUM(I440:I446)</f>
        <v>1190098.92</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1190098.92</v>
      </c>
      <c r="H460" s="18"/>
      <c r="I460" s="56">
        <f t="shared" si="34"/>
        <v>1190098.92</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1190098.92</v>
      </c>
      <c r="H461" s="83">
        <f>SUM(H455:H460)</f>
        <v>0</v>
      </c>
      <c r="I461" s="83">
        <f>SUM(I455:I460)</f>
        <v>1190098.92</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1190098.92</v>
      </c>
      <c r="H462" s="42">
        <f>H453+H461</f>
        <v>0</v>
      </c>
      <c r="I462" s="42">
        <f>I453+I461</f>
        <v>1190098.92</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f>1330022.47-307357.66</f>
        <v>1022664.81</v>
      </c>
      <c r="G466" s="18">
        <v>90846.55</v>
      </c>
      <c r="H466" s="18">
        <v>741818.45</v>
      </c>
      <c r="I466" s="18"/>
      <c r="J466" s="18">
        <v>990098.92</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23875858.030000001</v>
      </c>
      <c r="G469" s="18">
        <f>G194</f>
        <v>476522.68</v>
      </c>
      <c r="H469" s="18">
        <f>H170</f>
        <v>968375.14</v>
      </c>
      <c r="I469" s="18"/>
      <c r="J469" s="18">
        <v>200000</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23875858.030000001</v>
      </c>
      <c r="G471" s="53">
        <f>SUM(G469:G470)</f>
        <v>476522.68</v>
      </c>
      <c r="H471" s="53">
        <f>SUM(H469:H470)</f>
        <v>968375.14</v>
      </c>
      <c r="I471" s="53">
        <f>SUM(I469:I470)</f>
        <v>0</v>
      </c>
      <c r="J471" s="53">
        <f>SUM(J469:J470)</f>
        <v>200000</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22834836.77</v>
      </c>
      <c r="G473" s="18">
        <f>L363</f>
        <v>567369.23</v>
      </c>
      <c r="H473" s="18">
        <v>1710193.59</v>
      </c>
      <c r="I473" s="18"/>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22834836.77</v>
      </c>
      <c r="G475" s="53">
        <f>SUM(G473:G474)</f>
        <v>567369.23</v>
      </c>
      <c r="H475" s="53">
        <f>SUM(H473:H474)</f>
        <v>1710193.59</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2063686.0700000003</v>
      </c>
      <c r="G477" s="53">
        <f>(G466+G471)- G475</f>
        <v>0</v>
      </c>
      <c r="H477" s="53">
        <f>(H466+H471)- H475</f>
        <v>0</v>
      </c>
      <c r="I477" s="53">
        <f>(I466+I471)- I475</f>
        <v>0</v>
      </c>
      <c r="J477" s="53">
        <f>(J466+J471)- J475</f>
        <v>1190098.92</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1011583.28</v>
      </c>
      <c r="G522" s="18">
        <v>636235</v>
      </c>
      <c r="H522" s="18">
        <v>255222</v>
      </c>
      <c r="I522" s="18">
        <v>11444</v>
      </c>
      <c r="J522" s="18">
        <v>125</v>
      </c>
      <c r="K522" s="18">
        <v>15</v>
      </c>
      <c r="L522" s="88">
        <f>SUM(F522:K522)</f>
        <v>1914624.28</v>
      </c>
      <c r="N522" s="263"/>
    </row>
    <row r="523" spans="1:14" s="52" customFormat="1" ht="12.2" customHeight="1" x14ac:dyDescent="0.2">
      <c r="A523" s="22" t="s">
        <v>634</v>
      </c>
      <c r="B523" s="105">
        <v>21</v>
      </c>
      <c r="C523" s="115">
        <v>2</v>
      </c>
      <c r="D523" s="2" t="s">
        <v>432</v>
      </c>
      <c r="E523" s="115"/>
      <c r="F523" s="18">
        <v>536218.71</v>
      </c>
      <c r="G523" s="18">
        <v>307906.38</v>
      </c>
      <c r="H523" s="18">
        <v>4084.89</v>
      </c>
      <c r="I523" s="18">
        <v>2568</v>
      </c>
      <c r="J523" s="18">
        <v>615</v>
      </c>
      <c r="K523" s="18">
        <v>15</v>
      </c>
      <c r="L523" s="88">
        <f>SUM(F523:K523)</f>
        <v>851407.98</v>
      </c>
      <c r="N523" s="263"/>
    </row>
    <row r="524" spans="1:14" s="52" customFormat="1" ht="12.2" customHeight="1" thickBot="1" x14ac:dyDescent="0.25">
      <c r="A524" s="22" t="s">
        <v>635</v>
      </c>
      <c r="B524" s="105">
        <v>21</v>
      </c>
      <c r="C524" s="115">
        <v>3</v>
      </c>
      <c r="D524" s="2" t="s">
        <v>432</v>
      </c>
      <c r="E524" s="115"/>
      <c r="F524" s="18">
        <v>993065.93</v>
      </c>
      <c r="G524" s="18">
        <v>499687.37</v>
      </c>
      <c r="H524" s="18">
        <v>292363</v>
      </c>
      <c r="I524" s="18">
        <v>4530.22</v>
      </c>
      <c r="J524" s="18">
        <v>802.38</v>
      </c>
      <c r="K524" s="18">
        <v>15</v>
      </c>
      <c r="L524" s="88">
        <f>SUM(F524:K524)</f>
        <v>1790463.9</v>
      </c>
      <c r="N524" s="263"/>
    </row>
    <row r="525" spans="1:14" s="52" customFormat="1" ht="12.2" customHeight="1" thickTop="1" x14ac:dyDescent="0.2">
      <c r="A525" s="139" t="s">
        <v>63</v>
      </c>
      <c r="B525" s="107">
        <v>21</v>
      </c>
      <c r="C525" s="195">
        <v>4</v>
      </c>
      <c r="D525" s="196" t="s">
        <v>432</v>
      </c>
      <c r="E525" s="195"/>
      <c r="F525" s="108">
        <f>SUM(F522:F524)</f>
        <v>2540867.92</v>
      </c>
      <c r="G525" s="108">
        <f t="shared" ref="G525:L525" si="36">SUM(G522:G524)</f>
        <v>1443828.75</v>
      </c>
      <c r="H525" s="108">
        <f t="shared" si="36"/>
        <v>551669.89</v>
      </c>
      <c r="I525" s="108">
        <f t="shared" si="36"/>
        <v>18542.22</v>
      </c>
      <c r="J525" s="108">
        <f t="shared" si="36"/>
        <v>1542.38</v>
      </c>
      <c r="K525" s="108">
        <f t="shared" si="36"/>
        <v>45</v>
      </c>
      <c r="L525" s="89">
        <f t="shared" si="36"/>
        <v>4556496.16</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382621</v>
      </c>
      <c r="G527" s="18">
        <v>157017</v>
      </c>
      <c r="H527" s="18"/>
      <c r="I527" s="18">
        <v>1484</v>
      </c>
      <c r="J527" s="18"/>
      <c r="K527" s="18"/>
      <c r="L527" s="88">
        <f>SUM(F527:K527)</f>
        <v>541122</v>
      </c>
      <c r="M527" s="8"/>
      <c r="N527" s="264"/>
    </row>
    <row r="528" spans="1:14" s="3" customFormat="1" ht="12.2" customHeight="1" x14ac:dyDescent="0.15">
      <c r="A528" s="22" t="s">
        <v>634</v>
      </c>
      <c r="B528" s="105">
        <v>21</v>
      </c>
      <c r="C528" s="115">
        <v>6</v>
      </c>
      <c r="D528" s="2" t="s">
        <v>432</v>
      </c>
      <c r="E528" s="115"/>
      <c r="F528" s="18">
        <v>114535</v>
      </c>
      <c r="G528" s="18">
        <v>65249</v>
      </c>
      <c r="H528" s="18"/>
      <c r="I528" s="18">
        <v>1288</v>
      </c>
      <c r="J528" s="18"/>
      <c r="K528" s="18"/>
      <c r="L528" s="88">
        <f>SUM(F528:K528)</f>
        <v>181072</v>
      </c>
      <c r="M528" s="8"/>
      <c r="N528" s="264"/>
    </row>
    <row r="529" spans="1:14" s="3" customFormat="1" ht="12.2" customHeight="1" thickBot="1" x14ac:dyDescent="0.2">
      <c r="A529" s="22" t="s">
        <v>635</v>
      </c>
      <c r="B529" s="118">
        <v>21</v>
      </c>
      <c r="C529" s="118">
        <v>7</v>
      </c>
      <c r="D529" s="2" t="s">
        <v>432</v>
      </c>
      <c r="E529" s="118"/>
      <c r="F529" s="18">
        <v>110792</v>
      </c>
      <c r="G529" s="18">
        <v>48716</v>
      </c>
      <c r="H529" s="18"/>
      <c r="I529" s="18">
        <v>1015</v>
      </c>
      <c r="J529" s="18"/>
      <c r="K529" s="18"/>
      <c r="L529" s="88">
        <f>SUM(F529:K529)</f>
        <v>160523</v>
      </c>
      <c r="M529" s="8"/>
      <c r="N529" s="264"/>
    </row>
    <row r="530" spans="1:14" s="3" customFormat="1" ht="12.2" customHeight="1" thickTop="1" x14ac:dyDescent="0.15">
      <c r="A530" s="139" t="s">
        <v>65</v>
      </c>
      <c r="B530" s="107">
        <v>21</v>
      </c>
      <c r="C530" s="107">
        <v>8</v>
      </c>
      <c r="D530" s="158" t="s">
        <v>432</v>
      </c>
      <c r="E530" s="107"/>
      <c r="F530" s="89">
        <f>SUM(F527:F529)</f>
        <v>607948</v>
      </c>
      <c r="G530" s="89">
        <f t="shared" ref="G530:L530" si="37">SUM(G527:G529)</f>
        <v>270982</v>
      </c>
      <c r="H530" s="89">
        <f t="shared" si="37"/>
        <v>0</v>
      </c>
      <c r="I530" s="89">
        <f t="shared" si="37"/>
        <v>3787</v>
      </c>
      <c r="J530" s="89">
        <f t="shared" si="37"/>
        <v>0</v>
      </c>
      <c r="K530" s="89">
        <f t="shared" si="37"/>
        <v>0</v>
      </c>
      <c r="L530" s="89">
        <f t="shared" si="37"/>
        <v>882717</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87025.73</v>
      </c>
      <c r="G532" s="18">
        <v>24290.28</v>
      </c>
      <c r="H532" s="18"/>
      <c r="I532" s="18"/>
      <c r="J532" s="18"/>
      <c r="K532" s="18"/>
      <c r="L532" s="88">
        <f>SUM(F532:K532)</f>
        <v>111316.01</v>
      </c>
      <c r="M532" s="8"/>
      <c r="N532" s="264"/>
    </row>
    <row r="533" spans="1:14" s="3" customFormat="1" ht="12.2" customHeight="1" x14ac:dyDescent="0.15">
      <c r="A533" s="22" t="s">
        <v>634</v>
      </c>
      <c r="B533" s="105">
        <v>21</v>
      </c>
      <c r="C533" s="105">
        <v>10</v>
      </c>
      <c r="D533" s="2" t="s">
        <v>432</v>
      </c>
      <c r="E533" s="105"/>
      <c r="F533" s="18">
        <v>80000</v>
      </c>
      <c r="G533" s="18">
        <v>29162.16</v>
      </c>
      <c r="H533" s="18"/>
      <c r="I533" s="18"/>
      <c r="J533" s="18"/>
      <c r="K533" s="18"/>
      <c r="L533" s="88">
        <f>SUM(F533:K533)</f>
        <v>109162.16</v>
      </c>
      <c r="M533" s="8"/>
      <c r="N533" s="264"/>
    </row>
    <row r="534" spans="1:14" s="3" customFormat="1" ht="12.2" customHeight="1" thickBot="1" x14ac:dyDescent="0.2">
      <c r="A534" s="22" t="s">
        <v>635</v>
      </c>
      <c r="B534" s="105">
        <v>21</v>
      </c>
      <c r="C534" s="105">
        <v>11</v>
      </c>
      <c r="D534" s="2" t="s">
        <v>432</v>
      </c>
      <c r="E534" s="105"/>
      <c r="F534" s="18">
        <v>84810.2</v>
      </c>
      <c r="G534" s="18">
        <v>39981.97</v>
      </c>
      <c r="H534" s="18"/>
      <c r="I534" s="18"/>
      <c r="J534" s="18"/>
      <c r="K534" s="18"/>
      <c r="L534" s="88">
        <f>SUM(F534:K534)</f>
        <v>124792.17</v>
      </c>
      <c r="M534" s="8"/>
      <c r="N534" s="264"/>
    </row>
    <row r="535" spans="1:14" s="3" customFormat="1" ht="12.2" customHeight="1" thickTop="1" x14ac:dyDescent="0.15">
      <c r="A535" s="139" t="s">
        <v>67</v>
      </c>
      <c r="B535" s="107">
        <v>21</v>
      </c>
      <c r="C535" s="107">
        <v>12</v>
      </c>
      <c r="D535" s="158" t="s">
        <v>432</v>
      </c>
      <c r="E535" s="107"/>
      <c r="F535" s="89">
        <f>SUM(F532:F534)</f>
        <v>251835.93</v>
      </c>
      <c r="G535" s="89">
        <f t="shared" ref="G535:L535" si="38">SUM(G532:G534)</f>
        <v>93434.41</v>
      </c>
      <c r="H535" s="89">
        <f t="shared" si="38"/>
        <v>0</v>
      </c>
      <c r="I535" s="89">
        <f t="shared" si="38"/>
        <v>0</v>
      </c>
      <c r="J535" s="89">
        <f t="shared" si="38"/>
        <v>0</v>
      </c>
      <c r="K535" s="89">
        <f t="shared" si="38"/>
        <v>0</v>
      </c>
      <c r="L535" s="89">
        <f t="shared" si="38"/>
        <v>345270.33999999997</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79137.7</v>
      </c>
      <c r="I542" s="18"/>
      <c r="J542" s="18"/>
      <c r="K542" s="18"/>
      <c r="L542" s="88">
        <f>SUM(F542:K542)</f>
        <v>79137.7</v>
      </c>
      <c r="M542" s="8"/>
      <c r="N542" s="264"/>
    </row>
    <row r="543" spans="1:14" s="3" customFormat="1" ht="12.2" customHeight="1" x14ac:dyDescent="0.15">
      <c r="A543" s="22" t="s">
        <v>634</v>
      </c>
      <c r="B543" s="105">
        <v>21</v>
      </c>
      <c r="C543" s="105">
        <v>18</v>
      </c>
      <c r="D543" s="2" t="s">
        <v>432</v>
      </c>
      <c r="E543" s="105"/>
      <c r="F543" s="18"/>
      <c r="G543" s="18"/>
      <c r="H543" s="18">
        <v>57155</v>
      </c>
      <c r="I543" s="18"/>
      <c r="J543" s="18"/>
      <c r="K543" s="18"/>
      <c r="L543" s="88">
        <f>SUM(F543:K543)</f>
        <v>57155</v>
      </c>
      <c r="M543" s="8"/>
      <c r="N543" s="264"/>
    </row>
    <row r="544" spans="1:14" s="3" customFormat="1" ht="12.2" customHeight="1" thickBot="1" x14ac:dyDescent="0.2">
      <c r="A544" s="22" t="s">
        <v>635</v>
      </c>
      <c r="B544" s="105">
        <v>21</v>
      </c>
      <c r="C544" s="105">
        <v>19</v>
      </c>
      <c r="D544" s="2" t="s">
        <v>432</v>
      </c>
      <c r="E544" s="105"/>
      <c r="F544" s="18"/>
      <c r="G544" s="18"/>
      <c r="H544" s="18">
        <v>83534.23</v>
      </c>
      <c r="I544" s="18"/>
      <c r="J544" s="18"/>
      <c r="K544" s="18"/>
      <c r="L544" s="88">
        <f>SUM(F544:K544)</f>
        <v>83534.23</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219826.93</v>
      </c>
      <c r="I545" s="193">
        <f t="shared" si="40"/>
        <v>0</v>
      </c>
      <c r="J545" s="193">
        <f t="shared" si="40"/>
        <v>0</v>
      </c>
      <c r="K545" s="193">
        <f t="shared" si="40"/>
        <v>0</v>
      </c>
      <c r="L545" s="193">
        <f t="shared" si="40"/>
        <v>219826.93</v>
      </c>
      <c r="M545" s="8"/>
      <c r="N545" s="264"/>
    </row>
    <row r="546" spans="1:14" s="3" customFormat="1" ht="12.2" customHeight="1" thickTop="1" x14ac:dyDescent="0.15">
      <c r="A546" s="98" t="s">
        <v>72</v>
      </c>
      <c r="B546" s="107">
        <v>21</v>
      </c>
      <c r="C546" s="107">
        <v>21</v>
      </c>
      <c r="D546" s="158" t="s">
        <v>432</v>
      </c>
      <c r="E546" s="107"/>
      <c r="F546" s="89">
        <f>F525+F530+F535+F540+F545</f>
        <v>3400651.85</v>
      </c>
      <c r="G546" s="89">
        <f t="shared" ref="G546:L546" si="41">G525+G530+G535+G540+G545</f>
        <v>1808245.16</v>
      </c>
      <c r="H546" s="89">
        <f t="shared" si="41"/>
        <v>771496.82000000007</v>
      </c>
      <c r="I546" s="89">
        <f t="shared" si="41"/>
        <v>22329.22</v>
      </c>
      <c r="J546" s="89">
        <f t="shared" si="41"/>
        <v>1542.38</v>
      </c>
      <c r="K546" s="89">
        <f t="shared" si="41"/>
        <v>45</v>
      </c>
      <c r="L546" s="89">
        <f t="shared" si="41"/>
        <v>6004310.4299999997</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1914624.28</v>
      </c>
      <c r="G550" s="87">
        <f>L527</f>
        <v>541122</v>
      </c>
      <c r="H550" s="87">
        <f>L532</f>
        <v>111316.01</v>
      </c>
      <c r="I550" s="87">
        <f>L537</f>
        <v>0</v>
      </c>
      <c r="J550" s="87">
        <f>L542</f>
        <v>79137.7</v>
      </c>
      <c r="K550" s="87">
        <f>SUM(F550:J550)</f>
        <v>2646199.9900000002</v>
      </c>
      <c r="L550" s="24" t="s">
        <v>288</v>
      </c>
      <c r="M550" s="8"/>
      <c r="N550" s="264"/>
    </row>
    <row r="551" spans="1:14" s="3" customFormat="1" ht="12.2" customHeight="1" x14ac:dyDescent="0.15">
      <c r="A551" s="22" t="s">
        <v>634</v>
      </c>
      <c r="B551" s="75">
        <v>21</v>
      </c>
      <c r="C551" s="75">
        <v>23</v>
      </c>
      <c r="D551" s="2" t="s">
        <v>432</v>
      </c>
      <c r="E551" s="75"/>
      <c r="F551" s="87">
        <f>L523</f>
        <v>851407.98</v>
      </c>
      <c r="G551" s="87">
        <f>L528</f>
        <v>181072</v>
      </c>
      <c r="H551" s="87">
        <f>L533</f>
        <v>109162.16</v>
      </c>
      <c r="I551" s="87">
        <f>L538</f>
        <v>0</v>
      </c>
      <c r="J551" s="87">
        <f>L543</f>
        <v>57155</v>
      </c>
      <c r="K551" s="87">
        <f>SUM(F551:J551)</f>
        <v>1198797.1399999999</v>
      </c>
      <c r="L551" s="24" t="s">
        <v>288</v>
      </c>
      <c r="M551" s="8"/>
      <c r="N551" s="264"/>
    </row>
    <row r="552" spans="1:14" s="3" customFormat="1" ht="12.2" customHeight="1" thickBot="1" x14ac:dyDescent="0.2">
      <c r="A552" s="22" t="s">
        <v>635</v>
      </c>
      <c r="B552" s="75">
        <v>21</v>
      </c>
      <c r="C552" s="75">
        <v>24</v>
      </c>
      <c r="D552" s="2" t="s">
        <v>432</v>
      </c>
      <c r="E552" s="75"/>
      <c r="F552" s="87">
        <f>L524</f>
        <v>1790463.9</v>
      </c>
      <c r="G552" s="87">
        <f>L529</f>
        <v>160523</v>
      </c>
      <c r="H552" s="87">
        <f>L534</f>
        <v>124792.17</v>
      </c>
      <c r="I552" s="87">
        <f>L539</f>
        <v>0</v>
      </c>
      <c r="J552" s="87">
        <f>L544</f>
        <v>83534.23</v>
      </c>
      <c r="K552" s="87">
        <f>SUM(F552:J552)</f>
        <v>2159313.2999999998</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4556496.16</v>
      </c>
      <c r="G553" s="89">
        <f t="shared" si="42"/>
        <v>882717</v>
      </c>
      <c r="H553" s="89">
        <f t="shared" si="42"/>
        <v>345270.33999999997</v>
      </c>
      <c r="I553" s="89">
        <f t="shared" si="42"/>
        <v>0</v>
      </c>
      <c r="J553" s="89">
        <f t="shared" si="42"/>
        <v>219826.93</v>
      </c>
      <c r="K553" s="89">
        <f t="shared" si="42"/>
        <v>6004310.4299999997</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SUM(F580:H580)</f>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250360.55</v>
      </c>
      <c r="G583" s="18"/>
      <c r="H583" s="18">
        <v>248362.56</v>
      </c>
      <c r="I583" s="87">
        <f>SUM(F583:H583)</f>
        <v>498723.11</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59800.6</v>
      </c>
      <c r="I585" s="87">
        <f t="shared" si="47"/>
        <v>59800.6</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195183</v>
      </c>
      <c r="I592" s="18">
        <v>139682.70000000001</v>
      </c>
      <c r="J592" s="18">
        <v>226325.47</v>
      </c>
      <c r="K592" s="104">
        <f t="shared" ref="K592:K598" si="48">SUM(H592:J592)</f>
        <v>561191.17000000004</v>
      </c>
      <c r="L592" s="24" t="s">
        <v>288</v>
      </c>
      <c r="M592" s="8"/>
      <c r="N592" s="264"/>
    </row>
    <row r="593" spans="1:14" s="3" customFormat="1" ht="12.2" customHeight="1" x14ac:dyDescent="0.15">
      <c r="A593" s="3" t="s">
        <v>638</v>
      </c>
      <c r="B593" s="75">
        <v>23</v>
      </c>
      <c r="C593" s="75">
        <v>2</v>
      </c>
      <c r="D593" s="2" t="s">
        <v>432</v>
      </c>
      <c r="E593" s="75"/>
      <c r="F593" s="102">
        <v>2722</v>
      </c>
      <c r="G593" s="103" t="s">
        <v>97</v>
      </c>
      <c r="H593" s="18">
        <v>79137.7</v>
      </c>
      <c r="I593" s="18">
        <v>57155</v>
      </c>
      <c r="J593" s="18">
        <v>83534.23</v>
      </c>
      <c r="K593" s="104">
        <f t="shared" si="48"/>
        <v>219826.93</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60412.2</v>
      </c>
      <c r="K594" s="104">
        <f t="shared" si="48"/>
        <v>60412.2</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274320.7</v>
      </c>
      <c r="I599" s="108">
        <f>SUM(I592:I598)</f>
        <v>196837.7</v>
      </c>
      <c r="J599" s="108">
        <f>SUM(J592:J598)</f>
        <v>370271.9</v>
      </c>
      <c r="K599" s="108">
        <f>SUM(K592:K598)</f>
        <v>841430.3</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85613.03+207071.85</f>
        <v>292684.88</v>
      </c>
      <c r="I605" s="18">
        <f>56778.32+86133.58</f>
        <v>142911.9</v>
      </c>
      <c r="J605" s="18">
        <f>97397.26+126075.42</f>
        <v>223472.68</v>
      </c>
      <c r="K605" s="104">
        <f>SUM(H605:J605)</f>
        <v>659069.46</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292684.88</v>
      </c>
      <c r="I606" s="108">
        <f>SUM(I603:I605)</f>
        <v>142911.9</v>
      </c>
      <c r="J606" s="108">
        <f>SUM(J603:J605)</f>
        <v>223472.68</v>
      </c>
      <c r="K606" s="108">
        <f>SUM(K603:K605)</f>
        <v>659069.46</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2565569.5699999998</v>
      </c>
      <c r="H618" s="109">
        <f>SUM(F52)</f>
        <v>2565569.5699999998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1866.9400000000023</v>
      </c>
      <c r="H619" s="109">
        <f>SUM(G52)</f>
        <v>1866.94</v>
      </c>
      <c r="I619" s="121" t="s">
        <v>876</v>
      </c>
      <c r="J619" s="109">
        <f>G619-H619</f>
        <v>2.2737367544323206E-12</v>
      </c>
      <c r="K619" s="109"/>
      <c r="L619" s="109"/>
      <c r="M619" s="8"/>
    </row>
    <row r="620" spans="1:14" s="3" customFormat="1" ht="12.2" customHeight="1" x14ac:dyDescent="0.15">
      <c r="A620" s="97"/>
      <c r="B620" s="105"/>
      <c r="C620" s="105"/>
      <c r="D620" s="105"/>
      <c r="E620" s="105"/>
      <c r="F620" s="121" t="s">
        <v>685</v>
      </c>
      <c r="G620" s="109">
        <f>SUM(H19)</f>
        <v>8728.929999999993</v>
      </c>
      <c r="H620" s="109">
        <f>SUM(H52)</f>
        <v>8728.93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1190098.92</v>
      </c>
      <c r="H622" s="109">
        <f>SUM(J52)</f>
        <v>1190098.92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2063686.0699999998</v>
      </c>
      <c r="H623" s="109">
        <f>F477</f>
        <v>2063686.0700000003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1190098.92</v>
      </c>
      <c r="H627" s="109">
        <f>J477</f>
        <v>1190098.92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23875858.030000001</v>
      </c>
      <c r="H628" s="104">
        <f>SUM(F469)</f>
        <v>23875858.030000001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476522.68</v>
      </c>
      <c r="H629" s="104">
        <f>SUM(G469)</f>
        <v>476522.68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968375.14</v>
      </c>
      <c r="H630" s="104">
        <f>SUM(H469)</f>
        <v>968375.14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200000</v>
      </c>
      <c r="H632" s="104">
        <f>SUM(J469)</f>
        <v>200000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22834836.77</v>
      </c>
      <c r="H633" s="104">
        <f>SUM(F473)</f>
        <v>22834836.77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1710193.59</v>
      </c>
      <c r="H634" s="104">
        <f>SUM(H473)</f>
        <v>1710193.59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232505.36</v>
      </c>
      <c r="H635" s="104">
        <f>I370</f>
        <v>232505.36000000002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567369.23</v>
      </c>
      <c r="H636" s="104">
        <f>SUM(G473)</f>
        <v>567369.23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200000</v>
      </c>
      <c r="H638" s="164">
        <f>SUM(J469)</f>
        <v>200000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1190098.92</v>
      </c>
      <c r="H641" s="104">
        <f>SUM(G462)</f>
        <v>1190098.92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1190098.92</v>
      </c>
      <c r="H643" s="104">
        <f>SUM(I462)</f>
        <v>1190098.92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200000</v>
      </c>
      <c r="H646" s="104">
        <f>G409</f>
        <v>200000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200000</v>
      </c>
      <c r="H647" s="104">
        <f>L409</f>
        <v>200000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841430.3</v>
      </c>
      <c r="H648" s="104">
        <f>L209+L227+L245</f>
        <v>841430.3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659069.46</v>
      </c>
      <c r="H649" s="104">
        <f>(J258+J339)-(J256+J337)</f>
        <v>659069.46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274320.7</v>
      </c>
      <c r="H650" s="104">
        <f>H599</f>
        <v>274320.7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196837.69999999998</v>
      </c>
      <c r="H651" s="104">
        <f>I599</f>
        <v>196837.7</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370271.9</v>
      </c>
      <c r="H652" s="104">
        <f>J599</f>
        <v>370271.9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50000</v>
      </c>
      <c r="H653" s="104">
        <f>K264+K346</f>
        <v>50000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200000</v>
      </c>
      <c r="H656" s="104">
        <f>K267+K348</f>
        <v>200000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9615156.8199999984</v>
      </c>
      <c r="G661" s="19">
        <f>(L230+L310+L360)</f>
        <v>5547252.5999999996</v>
      </c>
      <c r="H661" s="19">
        <f>(L248+L329+L361)</f>
        <v>8873115.1700000018</v>
      </c>
      <c r="I661" s="19">
        <f>SUM(F661:H661)</f>
        <v>24035524.59</v>
      </c>
      <c r="J661" s="13"/>
      <c r="K661" s="13"/>
      <c r="L661" s="13"/>
      <c r="M661" s="9"/>
    </row>
    <row r="662" spans="1:13" s="3" customFormat="1" ht="12.2" customHeight="1" x14ac:dyDescent="0.2">
      <c r="A662" s="1" t="s">
        <v>127</v>
      </c>
      <c r="F662" s="19">
        <f>(L359/IF(SUM(L359:L361)=0,1,SUM(L359:L361))*(SUM(G97:G110)))</f>
        <v>13087.810473355245</v>
      </c>
      <c r="G662" s="19">
        <f>(L360/IF(SUM(L359:L361)=0,1,SUM(L359:L361))*(SUM(G97:G110)))</f>
        <v>9932.1594638891493</v>
      </c>
      <c r="H662" s="19">
        <f>(L361/IF(SUM(L359:L361)=0,1,SUM(L359:L361))*(SUM(G97:G110)))</f>
        <v>6657.8800627556056</v>
      </c>
      <c r="I662" s="19">
        <f>SUM(F662:H662)</f>
        <v>29677.85</v>
      </c>
      <c r="J662"/>
      <c r="K662" s="13"/>
      <c r="L662" s="13"/>
      <c r="M662" s="8"/>
    </row>
    <row r="663" spans="1:13" s="3" customFormat="1" ht="12.2" customHeight="1" x14ac:dyDescent="0.2">
      <c r="A663" s="1" t="s">
        <v>128</v>
      </c>
      <c r="F663" s="19">
        <f>(L209+L288)-(J209+J288)</f>
        <v>274320.7</v>
      </c>
      <c r="G663" s="19">
        <f>(L227+L307)-(J227+J307)</f>
        <v>196837.69999999998</v>
      </c>
      <c r="H663" s="19">
        <f>(L245+L326)-(J245+J326)</f>
        <v>370271.9</v>
      </c>
      <c r="I663" s="19">
        <f>SUM(F663:H663)</f>
        <v>841430.3</v>
      </c>
      <c r="J663"/>
      <c r="K663" s="13"/>
      <c r="L663" s="13"/>
      <c r="M663" s="9"/>
    </row>
    <row r="664" spans="1:13" s="3" customFormat="1" ht="12.2" customHeight="1" x14ac:dyDescent="0.15">
      <c r="A664" s="198" t="s">
        <v>129</v>
      </c>
      <c r="B664" s="169"/>
      <c r="C664" s="169"/>
      <c r="D664" s="169"/>
      <c r="E664" s="169"/>
      <c r="F664" s="199">
        <f>SUM(F576:F588)+SUM(H603:H605)+SUM(L612)</f>
        <v>543045.42999999993</v>
      </c>
      <c r="G664" s="199">
        <f>SUM(G576:G588)+SUM(I603:I605)+L613</f>
        <v>142911.9</v>
      </c>
      <c r="H664" s="199">
        <f>SUM(H576:H588)+SUM(J603:J605)+L614</f>
        <v>531635.84</v>
      </c>
      <c r="I664" s="19">
        <f>SUM(F664:H664)</f>
        <v>1217593.17</v>
      </c>
      <c r="J664" s="13"/>
      <c r="K664" s="13"/>
      <c r="L664" s="13"/>
      <c r="M664" s="9"/>
    </row>
    <row r="665" spans="1:13" s="3" customFormat="1" ht="12.2" customHeight="1" x14ac:dyDescent="0.15">
      <c r="A665" s="1" t="s">
        <v>130</v>
      </c>
      <c r="F665" s="19">
        <f>F661-SUM(F662:F664)</f>
        <v>8784702.8795266431</v>
      </c>
      <c r="G665" s="19">
        <f>G661-SUM(G662:G664)</f>
        <v>5197570.8405361101</v>
      </c>
      <c r="H665" s="19">
        <f>H661-SUM(H662:H664)</f>
        <v>7964549.5499372464</v>
      </c>
      <c r="I665" s="19">
        <f>I661-SUM(I662:I664)</f>
        <v>21946823.27</v>
      </c>
      <c r="J665" s="13"/>
      <c r="K665" s="13"/>
      <c r="L665" s="13"/>
      <c r="M665" s="8"/>
    </row>
    <row r="666" spans="1:13" s="3" customFormat="1" ht="12.2" customHeight="1" x14ac:dyDescent="0.25">
      <c r="A666" s="1" t="s">
        <v>131</v>
      </c>
      <c r="F666" s="359">
        <v>393.83</v>
      </c>
      <c r="G666" s="359">
        <v>267.04000000000002</v>
      </c>
      <c r="H666" s="359">
        <v>374.68</v>
      </c>
      <c r="I666" s="19">
        <f>SUM(F666:H666)</f>
        <v>1035.55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22305.82</v>
      </c>
      <c r="G668" s="19">
        <f>ROUND(G665/G666,2)</f>
        <v>19463.64</v>
      </c>
      <c r="H668" s="19">
        <f>ROUND(H665/H666,2)</f>
        <v>21256.94</v>
      </c>
      <c r="I668" s="19">
        <f>ROUND(I665/I666,2)</f>
        <v>21193.4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-3.72</v>
      </c>
      <c r="I671" s="19">
        <f>SUM(F671:H671)</f>
        <v>-3.72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22305.82</v>
      </c>
      <c r="G673" s="19">
        <f>ROUND((G665+G670)/(G666+G671),2)</f>
        <v>19463.64</v>
      </c>
      <c r="H673" s="19">
        <f>ROUND((H665+H670)/(H666+H671),2)</f>
        <v>21470.1</v>
      </c>
      <c r="I673" s="19">
        <f>ROUND((I665+I670)/(I666+I671),2)</f>
        <v>21269.81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E28" sqref="E28"/>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26600.34</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231161</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178921.51</v>
      </c>
      <c r="F22" s="346"/>
    </row>
    <row r="23" spans="2:8" x14ac:dyDescent="0.25">
      <c r="B23" s="346"/>
      <c r="C23" s="346"/>
      <c r="D23" s="346"/>
      <c r="E23" s="346"/>
      <c r="F23" s="346"/>
    </row>
    <row r="24" spans="2:8" ht="26.25" customHeight="1" x14ac:dyDescent="0.25">
      <c r="B24" s="346"/>
      <c r="C24" s="348" t="s">
        <v>1661</v>
      </c>
      <c r="D24" s="346"/>
      <c r="E24" s="341">
        <v>93779.01</v>
      </c>
      <c r="F24" s="346"/>
    </row>
    <row r="25" spans="2:8" ht="18" x14ac:dyDescent="0.25">
      <c r="B25" s="346"/>
      <c r="C25" s="349"/>
      <c r="D25" s="346"/>
      <c r="E25" s="346"/>
      <c r="F25" s="346"/>
    </row>
    <row r="26" spans="2:8" ht="27.75" customHeight="1" x14ac:dyDescent="0.25">
      <c r="B26" s="346"/>
      <c r="C26" s="348" t="s">
        <v>1662</v>
      </c>
      <c r="D26" s="346"/>
      <c r="E26" s="341">
        <v>26600.34</v>
      </c>
      <c r="F26" s="346"/>
    </row>
    <row r="27" spans="2:8" x14ac:dyDescent="0.25">
      <c r="B27" s="346"/>
      <c r="C27" s="348"/>
      <c r="D27" s="346"/>
      <c r="E27" s="346"/>
      <c r="F27" s="346"/>
    </row>
    <row r="28" spans="2:8" ht="15.75" customHeight="1" x14ac:dyDescent="0.25">
      <c r="B28" s="346"/>
      <c r="C28" s="348" t="s">
        <v>1663</v>
      </c>
      <c r="D28" s="346"/>
      <c r="E28" s="342">
        <v>0</v>
      </c>
      <c r="F28" s="346"/>
    </row>
    <row r="29" spans="2:8" x14ac:dyDescent="0.25">
      <c r="B29" s="346"/>
      <c r="C29" s="346"/>
      <c r="D29" s="346"/>
      <c r="E29" s="346"/>
      <c r="F29" s="346"/>
    </row>
    <row r="30" spans="2:8" ht="16.5" customHeight="1" x14ac:dyDescent="0.25">
      <c r="B30" s="346"/>
      <c r="C30" s="348" t="s">
        <v>1664</v>
      </c>
      <c r="D30" s="346"/>
      <c r="E30" s="341">
        <v>78839.83</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Hillsboro-Deering School Disitrict</v>
      </c>
      <c r="C5" s="363"/>
      <c r="D5" s="363"/>
      <c r="E5" s="363"/>
      <c r="F5" s="363"/>
    </row>
    <row r="8" spans="1:9" ht="18" x14ac:dyDescent="0.25">
      <c r="A8" s="317" t="s">
        <v>1576</v>
      </c>
      <c r="F8" s="324" t="s">
        <v>1594</v>
      </c>
    </row>
    <row r="9" spans="1:9" ht="15" x14ac:dyDescent="0.2">
      <c r="A9" s="315" t="s">
        <v>1577</v>
      </c>
      <c r="B9" s="318">
        <f>'DOE25'!G97</f>
        <v>29677.85</v>
      </c>
      <c r="F9" s="315" t="s">
        <v>1590</v>
      </c>
    </row>
    <row r="10" spans="1:9" ht="15" x14ac:dyDescent="0.2">
      <c r="A10" s="315" t="s">
        <v>1578</v>
      </c>
      <c r="B10" s="318">
        <f>'DOE25'!G112-'DOE25'!G97</f>
        <v>0</v>
      </c>
      <c r="F10" s="315" t="s">
        <v>1591</v>
      </c>
    </row>
    <row r="11" spans="1:9" ht="15" x14ac:dyDescent="0.2">
      <c r="A11" s="315" t="s">
        <v>1579</v>
      </c>
      <c r="B11" s="318">
        <f>'DOE25'!G140</f>
        <v>8016.96</v>
      </c>
      <c r="F11" s="315" t="s">
        <v>1592</v>
      </c>
    </row>
    <row r="12" spans="1:9" ht="15" x14ac:dyDescent="0.2">
      <c r="A12" s="315" t="s">
        <v>1580</v>
      </c>
      <c r="B12" s="318">
        <f>'DOE25'!G170</f>
        <v>388827.87</v>
      </c>
      <c r="F12" s="315" t="s">
        <v>1593</v>
      </c>
    </row>
    <row r="13" spans="1:9" ht="15" x14ac:dyDescent="0.2">
      <c r="A13" s="315" t="s">
        <v>1581</v>
      </c>
      <c r="B13" s="318">
        <f>'DOE25'!G193-'DOE25'!G180</f>
        <v>0</v>
      </c>
      <c r="F13" s="315" t="s">
        <v>1603</v>
      </c>
    </row>
    <row r="14" spans="1:9" ht="18" x14ac:dyDescent="0.25">
      <c r="A14" s="317" t="s">
        <v>732</v>
      </c>
      <c r="B14" s="319">
        <f>SUM(B9:B13)</f>
        <v>426522.68</v>
      </c>
    </row>
    <row r="16" spans="1:9" ht="18" x14ac:dyDescent="0.25">
      <c r="A16" s="317" t="s">
        <v>786</v>
      </c>
      <c r="F16" s="324" t="s">
        <v>1595</v>
      </c>
    </row>
    <row r="17" spans="1:6" ht="15" x14ac:dyDescent="0.2">
      <c r="A17" s="315" t="s">
        <v>1582</v>
      </c>
      <c r="B17" s="318">
        <f>'DOE25'!L363-'DOE25'!L362</f>
        <v>567369.23</v>
      </c>
      <c r="F17" s="315" t="s">
        <v>1596</v>
      </c>
    </row>
    <row r="18" spans="1:6" ht="15" x14ac:dyDescent="0.2">
      <c r="A18" s="315" t="s">
        <v>1583</v>
      </c>
      <c r="B18" s="328"/>
      <c r="F18" s="324" t="s">
        <v>1620</v>
      </c>
    </row>
    <row r="19" spans="1:6" ht="18" x14ac:dyDescent="0.25">
      <c r="A19" s="317" t="s">
        <v>725</v>
      </c>
      <c r="B19" s="319">
        <f>SUM(B17:B18)</f>
        <v>567369.23</v>
      </c>
    </row>
    <row r="21" spans="1:6" ht="18.75" thickBot="1" x14ac:dyDescent="0.3">
      <c r="A21" s="317" t="s">
        <v>1584</v>
      </c>
    </row>
    <row r="22" spans="1:6" ht="18.75" thickTop="1" x14ac:dyDescent="0.25">
      <c r="A22" s="317" t="s">
        <v>1585</v>
      </c>
      <c r="B22" s="323">
        <f>B14-B19</f>
        <v>-140846.54999999999</v>
      </c>
      <c r="F22" s="315" t="s">
        <v>1597</v>
      </c>
    </row>
    <row r="26" spans="1:6" ht="18" x14ac:dyDescent="0.25">
      <c r="A26" s="317" t="s">
        <v>186</v>
      </c>
    </row>
    <row r="27" spans="1:6" ht="15" x14ac:dyDescent="0.2">
      <c r="A27" s="315" t="s">
        <v>1586</v>
      </c>
      <c r="B27" s="318">
        <f>'DOE25'!G180</f>
        <v>50000</v>
      </c>
      <c r="F27" s="315" t="s">
        <v>1598</v>
      </c>
    </row>
    <row r="28" spans="1:6" ht="15" x14ac:dyDescent="0.2">
      <c r="A28" s="315" t="s">
        <v>1588</v>
      </c>
      <c r="B28" s="318">
        <f>'DOE25'!L362</f>
        <v>0</v>
      </c>
      <c r="F28" s="315" t="s">
        <v>1599</v>
      </c>
    </row>
    <row r="31" spans="1:6" ht="15" x14ac:dyDescent="0.2">
      <c r="A31" s="315" t="s">
        <v>1628</v>
      </c>
      <c r="B31" s="318">
        <f>'DOE25'!G466</f>
        <v>90846.55</v>
      </c>
      <c r="F31" s="315" t="s">
        <v>1600</v>
      </c>
    </row>
    <row r="33" spans="1:6" ht="15" x14ac:dyDescent="0.2">
      <c r="A33" s="315" t="s">
        <v>1629</v>
      </c>
      <c r="B33" s="318">
        <f>'DOE25'!G477</f>
        <v>0</v>
      </c>
      <c r="F33" s="315" t="s">
        <v>1601</v>
      </c>
    </row>
    <row r="36" spans="1:6" ht="15" x14ac:dyDescent="0.2">
      <c r="A36" s="315" t="s">
        <v>1587</v>
      </c>
      <c r="B36" s="329"/>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zoomScale="110" zoomScaleNormal="110"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Hillsboro-Deering School Disitrict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5995708.0600000005</v>
      </c>
      <c r="C9" s="229">
        <f>'DOE25'!G198+'DOE25'!G216+'DOE25'!G234+'DOE25'!G277+'DOE25'!G296+'DOE25'!G315</f>
        <v>2677883.4000000004</v>
      </c>
    </row>
    <row r="10" spans="1:3" x14ac:dyDescent="0.2">
      <c r="A10" t="s">
        <v>775</v>
      </c>
      <c r="B10" s="240">
        <v>5833788.0599999996</v>
      </c>
      <c r="C10" s="240">
        <v>2636065.04</v>
      </c>
    </row>
    <row r="11" spans="1:3" x14ac:dyDescent="0.2">
      <c r="A11" t="s">
        <v>776</v>
      </c>
      <c r="B11" s="240">
        <v>92544.44</v>
      </c>
      <c r="C11" s="240">
        <v>36511.129999999997</v>
      </c>
    </row>
    <row r="12" spans="1:3" x14ac:dyDescent="0.2">
      <c r="A12" t="s">
        <v>777</v>
      </c>
      <c r="B12" s="240">
        <v>69375.56</v>
      </c>
      <c r="C12" s="240">
        <v>5307.23</v>
      </c>
    </row>
    <row r="13" spans="1:3" x14ac:dyDescent="0.2">
      <c r="A13" t="str">
        <f>IF(B9=B13,IF(C9=C13,"Check Total OK","Check Total Error"),"Check Total Error")</f>
        <v>Check Total OK</v>
      </c>
      <c r="B13" s="231">
        <f>SUM(B10:B12)</f>
        <v>5995708.0599999996</v>
      </c>
      <c r="C13" s="231">
        <f>SUM(C10:C12)</f>
        <v>2677883.4</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2540867.92</v>
      </c>
      <c r="C18" s="229">
        <f>'DOE25'!G199+'DOE25'!G217+'DOE25'!G235+'DOE25'!G278+'DOE25'!G297+'DOE25'!G316</f>
        <v>1443918.78</v>
      </c>
    </row>
    <row r="19" spans="1:3" x14ac:dyDescent="0.2">
      <c r="A19" t="s">
        <v>775</v>
      </c>
      <c r="B19" s="240">
        <v>1399787.99</v>
      </c>
      <c r="C19" s="240">
        <v>868331.83</v>
      </c>
    </row>
    <row r="20" spans="1:3" x14ac:dyDescent="0.2">
      <c r="A20" t="s">
        <v>776</v>
      </c>
      <c r="B20" s="240">
        <v>769681.79</v>
      </c>
      <c r="C20" s="240">
        <v>489343.62</v>
      </c>
    </row>
    <row r="21" spans="1:3" x14ac:dyDescent="0.2">
      <c r="A21" t="s">
        <v>777</v>
      </c>
      <c r="B21" s="240">
        <v>371398.14</v>
      </c>
      <c r="C21" s="240">
        <v>86243.33</v>
      </c>
    </row>
    <row r="22" spans="1:3" x14ac:dyDescent="0.2">
      <c r="A22" t="str">
        <f>IF(B18=B22,IF(C18=C22,"Check Total OK","Check Total Error"),"Check Total Error")</f>
        <v>Check Total OK</v>
      </c>
      <c r="B22" s="231">
        <f>SUM(B19:B21)</f>
        <v>2540867.9200000004</v>
      </c>
      <c r="C22" s="231">
        <f>SUM(C19:C21)</f>
        <v>1443918.78</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169831.57</v>
      </c>
      <c r="C36" s="235">
        <f>'DOE25'!G201+'DOE25'!G219+'DOE25'!G237+'DOE25'!G280+'DOE25'!G299+'DOE25'!G318</f>
        <v>46776.27</v>
      </c>
    </row>
    <row r="37" spans="1:3" x14ac:dyDescent="0.2">
      <c r="A37" t="s">
        <v>775</v>
      </c>
      <c r="B37" s="240">
        <v>6370</v>
      </c>
      <c r="C37" s="240">
        <f>486.78+1133.86</f>
        <v>1620.6399999999999</v>
      </c>
    </row>
    <row r="38" spans="1:3" x14ac:dyDescent="0.2">
      <c r="A38" t="s">
        <v>776</v>
      </c>
      <c r="B38" s="240">
        <v>493.56</v>
      </c>
      <c r="C38" s="240">
        <v>37.76</v>
      </c>
    </row>
    <row r="39" spans="1:3" x14ac:dyDescent="0.2">
      <c r="A39" t="s">
        <v>777</v>
      </c>
      <c r="B39" s="240">
        <v>162968.01</v>
      </c>
      <c r="C39" s="240">
        <v>45117.87</v>
      </c>
    </row>
    <row r="40" spans="1:3" x14ac:dyDescent="0.2">
      <c r="A40" t="str">
        <f>IF(B36=B40,IF(C36=C40,"Check Total OK","Check Total Error"),"Check Total Error")</f>
        <v>Check Total OK</v>
      </c>
      <c r="B40" s="231">
        <f>SUM(B37:B39)</f>
        <v>169831.57</v>
      </c>
      <c r="C40" s="231">
        <f>SUM(C37:C39)</f>
        <v>46776.270000000004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4" sqref="F1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Hillsboro-Deering School Disitrict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13194573.93</v>
      </c>
      <c r="D5" s="20">
        <f>SUM('DOE25'!L198:L201)+SUM('DOE25'!L216:L219)+SUM('DOE25'!L234:L237)-F5-G5-H5</f>
        <v>13118593.99</v>
      </c>
      <c r="E5" s="243"/>
      <c r="F5" s="244"/>
      <c r="G5" s="53">
        <f>SUM('DOE25'!J198:J201)+SUM('DOE25'!J216:J219)+SUM('DOE25'!J234:J237)</f>
        <v>31043.91</v>
      </c>
      <c r="H5" s="53">
        <f>SUM('DOE25'!K198:K201)+SUM('DOE25'!K216:K219)+SUM('DOE25'!K234:K237)</f>
        <v>44936.03</v>
      </c>
      <c r="I5" s="254"/>
    </row>
    <row r="6" spans="1:9" x14ac:dyDescent="0.2">
      <c r="A6" s="32">
        <v>2100</v>
      </c>
      <c r="B6" t="s">
        <v>796</v>
      </c>
      <c r="C6" s="273">
        <f t="shared" si="0"/>
        <v>2139284.25</v>
      </c>
      <c r="D6" s="20">
        <f>'DOE25'!L203+'DOE25'!L221+'DOE25'!L239-F6-G6-H6</f>
        <v>2138466.33</v>
      </c>
      <c r="E6" s="243"/>
      <c r="F6" s="244"/>
      <c r="G6" s="53">
        <f>'DOE25'!J203+'DOE25'!J221+'DOE25'!J239</f>
        <v>419.92</v>
      </c>
      <c r="H6" s="53">
        <f>'DOE25'!K203+'DOE25'!K221+'DOE25'!K239</f>
        <v>398</v>
      </c>
      <c r="I6" s="254"/>
    </row>
    <row r="7" spans="1:9" x14ac:dyDescent="0.2">
      <c r="A7" s="32">
        <v>2200</v>
      </c>
      <c r="B7" t="s">
        <v>821</v>
      </c>
      <c r="C7" s="273">
        <f t="shared" si="0"/>
        <v>1098188.05</v>
      </c>
      <c r="D7" s="20">
        <f>'DOE25'!L204+'DOE25'!L222+'DOE25'!L240-F7-G7-H7</f>
        <v>900543.9800000001</v>
      </c>
      <c r="E7" s="243"/>
      <c r="F7" s="244"/>
      <c r="G7" s="53">
        <f>'DOE25'!J204+'DOE25'!J222+'DOE25'!J240</f>
        <v>193284.5</v>
      </c>
      <c r="H7" s="53">
        <f>'DOE25'!K204+'DOE25'!K222+'DOE25'!K240</f>
        <v>4359.57</v>
      </c>
      <c r="I7" s="254"/>
    </row>
    <row r="8" spans="1:9" x14ac:dyDescent="0.2">
      <c r="A8" s="32">
        <v>2300</v>
      </c>
      <c r="B8" t="s">
        <v>797</v>
      </c>
      <c r="C8" s="273">
        <f t="shared" si="0"/>
        <v>873898.19</v>
      </c>
      <c r="D8" s="243"/>
      <c r="E8" s="20">
        <f>'DOE25'!L205+'DOE25'!L223+'DOE25'!L241-F8-G8-H8-D9-D11</f>
        <v>857758.75</v>
      </c>
      <c r="F8" s="244"/>
      <c r="G8" s="53">
        <f>'DOE25'!J205+'DOE25'!J223+'DOE25'!J241</f>
        <v>0</v>
      </c>
      <c r="H8" s="53">
        <f>'DOE25'!K205+'DOE25'!K223+'DOE25'!K241</f>
        <v>16139.44</v>
      </c>
      <c r="I8" s="254"/>
    </row>
    <row r="9" spans="1:9" ht="14.25" x14ac:dyDescent="0.2">
      <c r="A9" s="32">
        <v>2310</v>
      </c>
      <c r="B9" s="185" t="s">
        <v>888</v>
      </c>
      <c r="C9" s="273">
        <f t="shared" si="0"/>
        <v>19945.060000000001</v>
      </c>
      <c r="D9" s="244">
        <v>19945.060000000001</v>
      </c>
      <c r="E9" s="243"/>
      <c r="F9" s="251"/>
      <c r="G9" s="251"/>
      <c r="H9" s="251"/>
      <c r="I9" s="254"/>
    </row>
    <row r="10" spans="1:9" ht="14.25" x14ac:dyDescent="0.2">
      <c r="A10" s="32">
        <v>2317</v>
      </c>
      <c r="B10" s="185" t="s">
        <v>889</v>
      </c>
      <c r="C10" s="273">
        <f t="shared" si="0"/>
        <v>22000</v>
      </c>
      <c r="D10" s="243"/>
      <c r="E10" s="244">
        <v>22000</v>
      </c>
      <c r="F10" s="251"/>
      <c r="G10" s="251"/>
      <c r="H10" s="251"/>
      <c r="I10" s="254"/>
    </row>
    <row r="11" spans="1:9" ht="14.25" x14ac:dyDescent="0.2">
      <c r="A11" s="32">
        <v>2321</v>
      </c>
      <c r="B11" s="185" t="s">
        <v>890</v>
      </c>
      <c r="C11" s="273">
        <f t="shared" si="0"/>
        <v>262088.02</v>
      </c>
      <c r="D11" s="244">
        <v>262088.02</v>
      </c>
      <c r="E11" s="243"/>
      <c r="F11" s="251"/>
      <c r="G11" s="251"/>
      <c r="H11" s="251"/>
      <c r="I11" s="254"/>
    </row>
    <row r="12" spans="1:9" x14ac:dyDescent="0.2">
      <c r="A12" s="32">
        <v>2400</v>
      </c>
      <c r="B12" t="s">
        <v>711</v>
      </c>
      <c r="C12" s="273">
        <f t="shared" si="0"/>
        <v>1212857.18</v>
      </c>
      <c r="D12" s="20">
        <f>'DOE25'!L206+'DOE25'!L224+'DOE25'!L242-F12-G12-H12</f>
        <v>1175077.3799999999</v>
      </c>
      <c r="E12" s="243"/>
      <c r="F12" s="244"/>
      <c r="G12" s="53">
        <f>'DOE25'!J206+'DOE25'!J224+'DOE25'!J242</f>
        <v>1100</v>
      </c>
      <c r="H12" s="53">
        <f>'DOE25'!K206+'DOE25'!K224+'DOE25'!K242</f>
        <v>36679.800000000003</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2115696.7899999996</v>
      </c>
      <c r="D14" s="20">
        <f>'DOE25'!L208+'DOE25'!L226+'DOE25'!L244-F14-G14-H14</f>
        <v>1310326.21</v>
      </c>
      <c r="E14" s="243"/>
      <c r="F14" s="244">
        <v>791430.3</v>
      </c>
      <c r="G14" s="53">
        <f>'DOE25'!J208+'DOE25'!J226+'DOE25'!J244</f>
        <v>13940.279999999999</v>
      </c>
      <c r="H14" s="53">
        <f>'DOE25'!K208+'DOE25'!K226+'DOE25'!K244</f>
        <v>0</v>
      </c>
      <c r="I14" s="254"/>
    </row>
    <row r="15" spans="1:9" x14ac:dyDescent="0.2">
      <c r="A15" s="32">
        <v>2700</v>
      </c>
      <c r="B15" t="s">
        <v>799</v>
      </c>
      <c r="C15" s="273">
        <f t="shared" si="0"/>
        <v>841430.3</v>
      </c>
      <c r="D15" s="20">
        <f>'DOE25'!L209+'DOE25'!L227+'DOE25'!L245-F15-G15-H15</f>
        <v>841430.3</v>
      </c>
      <c r="E15" s="243"/>
      <c r="F15" s="244"/>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826875</v>
      </c>
      <c r="D25" s="243"/>
      <c r="E25" s="243"/>
      <c r="F25" s="253"/>
      <c r="G25" s="251"/>
      <c r="H25" s="251"/>
      <c r="I25" s="252">
        <f>'DOE25'!L261+'DOE25'!L262+'DOE25'!L342+'DOE25'!L343</f>
        <v>826875</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337810.29</v>
      </c>
      <c r="D29" s="281">
        <f>'DOE25'!L359+'DOE25'!L360+'DOE25'!L361-'DOE25'!I368-F29-G29-H29</f>
        <v>330386.11999999994</v>
      </c>
      <c r="E29" s="243"/>
      <c r="F29" s="244"/>
      <c r="G29" s="53">
        <f>'DOE25'!J359+'DOE25'!J360+'DOE25'!J361</f>
        <v>6615.1399999999994</v>
      </c>
      <c r="H29" s="53">
        <f>'DOE25'!K359+'DOE25'!K360+'DOE25'!K361</f>
        <v>809.03</v>
      </c>
      <c r="I29" s="254"/>
    </row>
    <row r="30" spans="1:9" x14ac:dyDescent="0.2">
      <c r="A30" s="32"/>
      <c r="C30" s="274"/>
      <c r="D30" s="20"/>
      <c r="E30" s="278"/>
      <c r="F30" s="268"/>
      <c r="G30" s="53"/>
      <c r="H30" s="53"/>
      <c r="I30" s="254"/>
    </row>
    <row r="31" spans="1:9" x14ac:dyDescent="0.2">
      <c r="A31" s="32" t="s">
        <v>818</v>
      </c>
      <c r="B31" t="s">
        <v>817</v>
      </c>
      <c r="C31" s="273">
        <f>SUM(D31:I31)</f>
        <v>1710193.5900000003</v>
      </c>
      <c r="D31" s="20">
        <f>'DOE25'!L291+'DOE25'!L310+'DOE25'!L329+'DOE25'!L334+'DOE25'!L335+'DOE25'!L336-F31-G31-H31</f>
        <v>1264075.2600000002</v>
      </c>
      <c r="E31" s="243"/>
      <c r="F31" s="244"/>
      <c r="G31" s="53">
        <f>'DOE25'!J291+'DOE25'!J310+'DOE25'!J329+'DOE25'!J334+'DOE25'!J335+'DOE25'!J336</f>
        <v>419280.85</v>
      </c>
      <c r="H31" s="53">
        <f>'DOE25'!K291+'DOE25'!K310+'DOE25'!K329+'DOE25'!K334+'DOE25'!K335+'DOE25'!K336</f>
        <v>26837.48</v>
      </c>
      <c r="I31" s="254"/>
    </row>
    <row r="32" spans="1:9" ht="12" thickBot="1" x14ac:dyDescent="0.25">
      <c r="C32" s="274"/>
      <c r="G32" s="249"/>
      <c r="H32" s="249"/>
      <c r="I32" s="256"/>
    </row>
    <row r="33" spans="1:9" ht="12" thickTop="1" x14ac:dyDescent="0.2">
      <c r="B33" t="s">
        <v>809</v>
      </c>
      <c r="D33" s="245">
        <f t="shared" ref="D33:I33" si="1">SUM(D5:D31)</f>
        <v>21360932.650000006</v>
      </c>
      <c r="E33" s="245">
        <f t="shared" si="1"/>
        <v>879758.75</v>
      </c>
      <c r="F33" s="245">
        <f t="shared" si="1"/>
        <v>791430.3</v>
      </c>
      <c r="G33" s="245">
        <f t="shared" si="1"/>
        <v>665684.6</v>
      </c>
      <c r="H33" s="245">
        <f t="shared" si="1"/>
        <v>130159.34999999999</v>
      </c>
      <c r="I33" s="245">
        <f t="shared" si="1"/>
        <v>826875</v>
      </c>
    </row>
    <row r="35" spans="1:9" ht="12" thickBot="1" x14ac:dyDescent="0.25">
      <c r="B35" s="249" t="s">
        <v>831</v>
      </c>
      <c r="D35" s="250">
        <f>E33</f>
        <v>879758.75</v>
      </c>
      <c r="E35" s="246"/>
      <c r="F35" s="333" t="s">
        <v>1632</v>
      </c>
      <c r="G35" s="334"/>
      <c r="H35" s="334"/>
      <c r="I35" s="334"/>
    </row>
    <row r="36" spans="1:9" ht="12" thickTop="1" x14ac:dyDescent="0.2">
      <c r="B36" t="s">
        <v>810</v>
      </c>
      <c r="D36" s="20">
        <f>D33</f>
        <v>21360932.650000006</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abSelected="1" topLeftCell="A14" zoomScaleNormal="100" workbookViewId="0">
      <selection activeCell="D37" sqref="D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Hillsboro-Deering School Disitrict</v>
      </c>
      <c r="B2" s="126">
        <f>'DOE25'!B2</f>
        <v>251</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9364949.3100000005</v>
      </c>
      <c r="G4" s="300">
        <f>'DOE25'!L212+'DOE25'!L291</f>
        <v>9364949.3099999987</v>
      </c>
      <c r="H4" s="353">
        <f>F4-G4</f>
        <v>0</v>
      </c>
      <c r="I4" s="371" t="str">
        <f>IF(H4=0,"","ISSUES!! Please review page 7 and 11 totals in comparison with total on this page")</f>
        <v/>
      </c>
      <c r="N4"/>
    </row>
    <row r="5" spans="1:18" x14ac:dyDescent="0.2">
      <c r="A5" s="21" t="s">
        <v>1109</v>
      </c>
      <c r="B5" s="301">
        <f>IFERROR(VLOOKUP(A5,'School Tables'!$C$3:$D$365,2,FALSE),"")</f>
        <v>20955</v>
      </c>
      <c r="C5" s="294" t="str">
        <f>IFERROR(INDEX('School Tables'!$B$3:$B$365,MATCH('School Level Expenditures'!B5,'School Tables'!$D$3:$D$365,0)),"")</f>
        <v>Hillsboro-Deering Cooperative</v>
      </c>
      <c r="D5" s="291">
        <f>9114588.76-E5</f>
        <v>7984265.3999999994</v>
      </c>
      <c r="E5" s="291">
        <v>1130323.3600000001</v>
      </c>
      <c r="F5" s="304">
        <f>D5+E5</f>
        <v>9114588.7599999998</v>
      </c>
      <c r="G5" s="294"/>
      <c r="H5" s="294"/>
      <c r="I5" s="372"/>
      <c r="N5"/>
    </row>
    <row r="6" spans="1:18" x14ac:dyDescent="0.2">
      <c r="A6" s="21" t="s">
        <v>1555</v>
      </c>
      <c r="B6" s="301">
        <f>IFERROR(VLOOKUP(A6,'School Tables'!$C$3:$D$365,2,FALSE),"")</f>
        <v>99999</v>
      </c>
      <c r="C6" s="294" t="str">
        <f>IFERROR(INDEX('School Tables'!$B$3:$B$365,MATCH('School Level Expenditures'!B6,'School Tables'!$D$3:$D$365,0)),"")</f>
        <v>Other District Expenditures</v>
      </c>
      <c r="D6" s="291">
        <v>250360.55</v>
      </c>
      <c r="E6" s="291"/>
      <c r="F6" s="304">
        <f t="shared" ref="F6:F20" si="0">D6+E6</f>
        <v>250360.55</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8234625.9499999993</v>
      </c>
      <c r="E21" s="351">
        <f>SUM(E5:E20)</f>
        <v>1130323.3600000001</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5357373.5599999996</v>
      </c>
      <c r="G24" s="300">
        <f>'DOE25'!L230+'DOE25'!L310</f>
        <v>5357373.5599999996</v>
      </c>
      <c r="H24" s="353">
        <f>F24-G24</f>
        <v>0</v>
      </c>
      <c r="I24" s="371" t="str">
        <f>IF(H24=0,"","ISSUES!! Please review page 8 and 12 totals in comparison with total on this page")</f>
        <v/>
      </c>
      <c r="N24"/>
    </row>
    <row r="25" spans="1:14" x14ac:dyDescent="0.2">
      <c r="A25" s="21" t="s">
        <v>1110</v>
      </c>
      <c r="B25" s="301">
        <f>IFERROR(VLOOKUP(A25,'School Tables'!$I$3:$J$80,2,FALSE),"")</f>
        <v>20960</v>
      </c>
      <c r="C25" s="294" t="str">
        <f t="array" ref="C25">IFERROR(INDEX('School Tables'!$H$3:$H$80,MATCH('School Level Expenditures'!B25,'School Tables'!$J$3:$J$80,0)),"")</f>
        <v>Hillsboro-Deering Cooperative</v>
      </c>
      <c r="D25" s="291">
        <f>5357373.56-E25</f>
        <v>5129695.55</v>
      </c>
      <c r="E25" s="291">
        <v>227678.01</v>
      </c>
      <c r="F25" s="304">
        <f>D25+E25</f>
        <v>5357373.5599999996</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5129695.55</v>
      </c>
      <c r="E33" s="351">
        <f>SUM(E25:E32)</f>
        <v>227678.01</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8745832.4900000002</v>
      </c>
      <c r="G36" s="300">
        <f>'DOE25'!L248+'DOE25'!L329</f>
        <v>8745832.4900000021</v>
      </c>
      <c r="H36" s="353">
        <f>F36-G36</f>
        <v>0</v>
      </c>
      <c r="I36" s="371" t="str">
        <f>IF(H36=0,"","ISSUES!! Please review page 9 and 13 totals in comparison with total on this page")</f>
        <v/>
      </c>
      <c r="N36"/>
    </row>
    <row r="37" spans="1:14" x14ac:dyDescent="0.2">
      <c r="A37" s="21" t="s">
        <v>1108</v>
      </c>
      <c r="B37" s="301">
        <f>IFERROR(VLOOKUP(A37,'School Tables'!$O$3:$P$118,2,FALSE),"")</f>
        <v>20950</v>
      </c>
      <c r="C37" s="294" t="str">
        <f t="array" ref="C37">IFERROR(INDEX('School Tables'!$N$3:$N$118,MATCH('School Level Expenditures'!B37,'School Tables'!$P$3:$P$118,0)),"")</f>
        <v>Hillsboro-Deering Cooperative</v>
      </c>
      <c r="D37" s="291">
        <f>8437669.33-E37</f>
        <v>8085477.1100000003</v>
      </c>
      <c r="E37" s="291">
        <v>352192.22</v>
      </c>
      <c r="F37" s="304">
        <f t="shared" ref="F37:F42" si="2">D37+E37</f>
        <v>8437669.3300000001</v>
      </c>
      <c r="G37" s="294"/>
      <c r="H37" s="294"/>
      <c r="I37" s="372"/>
      <c r="N37"/>
    </row>
    <row r="38" spans="1:14" x14ac:dyDescent="0.2">
      <c r="A38" s="21" t="s">
        <v>1555</v>
      </c>
      <c r="B38" s="301">
        <f>IFERROR(VLOOKUP(A38,'School Tables'!$O$3:$P$118,2,FALSE),"")</f>
        <v>99999</v>
      </c>
      <c r="C38" s="294" t="str">
        <f t="array" ref="C38">IFERROR(INDEX('School Tables'!$N$3:$N$118,MATCH('School Level Expenditures'!B38,'School Tables'!$P$3:$P$118,0)),"")</f>
        <v>Other District Expenditures</v>
      </c>
      <c r="D38" s="291">
        <v>308163.15999999997</v>
      </c>
      <c r="E38" s="291"/>
      <c r="F38" s="304">
        <f t="shared" si="2"/>
        <v>308163.15999999997</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8393640.2699999996</v>
      </c>
      <c r="E43" s="352">
        <f>SUM(E37:E42)</f>
        <v>352192.22</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10" zoomScaleNormal="110" workbookViewId="0">
      <pane ySplit="2" topLeftCell="A51" activePane="bottomLeft" state="frozen"/>
      <selection activeCell="F46" sqref="F46"/>
      <selection pane="bottomLeft" activeCell="C146" sqref="C14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Hillsboro-Deering School Disitrict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706527.17</v>
      </c>
      <c r="D8" s="95">
        <f>'DOE25'!G9</f>
        <v>0</v>
      </c>
      <c r="E8" s="95">
        <f>'DOE25'!H9</f>
        <v>0</v>
      </c>
      <c r="F8" s="95">
        <f>'DOE25'!I9</f>
        <v>0</v>
      </c>
      <c r="G8" s="95">
        <f>'DOE25'!J9</f>
        <v>1190098.92</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767717.5</v>
      </c>
      <c r="D11" s="95">
        <f>'DOE25'!G12</f>
        <v>-125086.73</v>
      </c>
      <c r="E11" s="95">
        <f>'DOE25'!H12</f>
        <v>-372508.53</v>
      </c>
      <c r="F11" s="95">
        <f>'DOE25'!I12</f>
        <v>0</v>
      </c>
      <c r="G11" s="95">
        <f>'DOE25'!J12</f>
        <v>0</v>
      </c>
      <c r="H11" s="124"/>
      <c r="I11" s="124"/>
    </row>
    <row r="12" spans="1:9" x14ac:dyDescent="0.2">
      <c r="A12" s="1" t="s">
        <v>143</v>
      </c>
      <c r="B12" s="6">
        <v>140</v>
      </c>
      <c r="C12" s="95">
        <f>'DOE25'!F13</f>
        <v>1060088.04</v>
      </c>
      <c r="D12" s="95">
        <f>'DOE25'!G13</f>
        <v>126953.67</v>
      </c>
      <c r="E12" s="95">
        <f>'DOE25'!H13</f>
        <v>381237.46</v>
      </c>
      <c r="F12" s="95">
        <f>'DOE25'!I13</f>
        <v>0</v>
      </c>
      <c r="G12" s="95">
        <f>'DOE25'!J13</f>
        <v>0</v>
      </c>
      <c r="H12" s="124"/>
      <c r="I12" s="124"/>
    </row>
    <row r="13" spans="1:9" x14ac:dyDescent="0.2">
      <c r="A13" s="1" t="s">
        <v>144</v>
      </c>
      <c r="B13" s="6">
        <v>150</v>
      </c>
      <c r="C13" s="95">
        <f>'DOE25'!F14</f>
        <v>28896.86</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2340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2565569.5699999998</v>
      </c>
      <c r="D18" s="41">
        <f>SUM(D8:D17)</f>
        <v>1866.9400000000023</v>
      </c>
      <c r="E18" s="41">
        <f>SUM(E8:E17)</f>
        <v>8728.929999999993</v>
      </c>
      <c r="F18" s="41">
        <f>SUM(F8:F17)</f>
        <v>0</v>
      </c>
      <c r="G18" s="41">
        <f>SUM(G8:G17)</f>
        <v>1190098.92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546212.93000000005</v>
      </c>
      <c r="D23" s="95">
        <f>'DOE25'!G24</f>
        <v>1866.94</v>
      </c>
      <c r="E23" s="95">
        <f>'DOE25'!H24</f>
        <v>8728.93</v>
      </c>
      <c r="F23" s="95">
        <f>'DOE25'!I24</f>
        <v>0</v>
      </c>
      <c r="G23" s="95">
        <f>'DOE25'!J24</f>
        <v>0</v>
      </c>
      <c r="H23" s="124"/>
      <c r="I23" s="124"/>
    </row>
    <row r="24" spans="1:9" x14ac:dyDescent="0.2">
      <c r="A24" s="1" t="s">
        <v>153</v>
      </c>
      <c r="B24" s="6">
        <v>430</v>
      </c>
      <c r="C24" s="95">
        <f>'DOE25'!F25</f>
        <v>-44329.43</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501883.50000000006</v>
      </c>
      <c r="D31" s="41">
        <f>SUM(D21:D30)</f>
        <v>1866.94</v>
      </c>
      <c r="E31" s="41">
        <f>SUM(E21:E30)</f>
        <v>8728.93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130000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1190098.92</v>
      </c>
      <c r="H47" s="124"/>
      <c r="I47" s="124"/>
    </row>
    <row r="48" spans="1:9" x14ac:dyDescent="0.2">
      <c r="A48" s="1" t="s">
        <v>882</v>
      </c>
      <c r="B48" s="6">
        <v>753</v>
      </c>
      <c r="C48" s="95">
        <f>'DOE25'!F49</f>
        <v>500361.23</v>
      </c>
      <c r="D48" s="95">
        <f>'DOE25'!G49</f>
        <v>0</v>
      </c>
      <c r="E48" s="95">
        <f>'DOE25'!H49</f>
        <v>0</v>
      </c>
      <c r="F48" s="95">
        <f>'DOE25'!I49</f>
        <v>0</v>
      </c>
      <c r="G48" s="95">
        <f>'DOE25'!J49</f>
        <v>0</v>
      </c>
      <c r="H48" s="124"/>
      <c r="I48" s="124"/>
    </row>
    <row r="49" spans="1:9" ht="12" thickBot="1" x14ac:dyDescent="0.25">
      <c r="A49" s="29" t="s">
        <v>883</v>
      </c>
      <c r="B49" s="71">
        <v>770</v>
      </c>
      <c r="C49" s="95">
        <f>'DOE25'!F50</f>
        <v>1433324.8399999999</v>
      </c>
      <c r="D49" s="24" t="s">
        <v>288</v>
      </c>
      <c r="E49" s="24" t="s">
        <v>288</v>
      </c>
      <c r="F49" s="24" t="s">
        <v>288</v>
      </c>
      <c r="G49" s="24" t="s">
        <v>288</v>
      </c>
      <c r="H49" s="124"/>
      <c r="I49" s="124"/>
    </row>
    <row r="50" spans="1:9" ht="12.75" thickTop="1" thickBot="1" x14ac:dyDescent="0.25">
      <c r="A50" s="38" t="s">
        <v>884</v>
      </c>
      <c r="B50" s="48"/>
      <c r="C50" s="41">
        <f>SUM(C34:C49)</f>
        <v>2063686.0699999998</v>
      </c>
      <c r="D50" s="41">
        <f>SUM(D34:D49)</f>
        <v>0</v>
      </c>
      <c r="E50" s="41">
        <f>SUM(E34:E49)</f>
        <v>0</v>
      </c>
      <c r="F50" s="41">
        <f>SUM(F34:F49)</f>
        <v>0</v>
      </c>
      <c r="G50" s="41">
        <f>SUM(G34:G49)</f>
        <v>1190098.92</v>
      </c>
      <c r="H50" s="124"/>
      <c r="I50" s="124"/>
    </row>
    <row r="51" spans="1:9" ht="12" thickTop="1" x14ac:dyDescent="0.2">
      <c r="A51" s="38" t="s">
        <v>885</v>
      </c>
      <c r="B51" s="2"/>
      <c r="C51" s="41">
        <f>C50+C31</f>
        <v>2565569.5699999998</v>
      </c>
      <c r="D51" s="41">
        <f>D50+D31</f>
        <v>1866.94</v>
      </c>
      <c r="E51" s="41">
        <f>E50+E31</f>
        <v>8728.93</v>
      </c>
      <c r="F51" s="41">
        <f>F50+F31</f>
        <v>0</v>
      </c>
      <c r="G51" s="41">
        <f>G50+G31</f>
        <v>1190098.92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12710807</v>
      </c>
      <c r="D56" s="95">
        <f>'DOE25'!G60</f>
        <v>0</v>
      </c>
      <c r="E56" s="95">
        <f>'DOE25'!H60</f>
        <v>0</v>
      </c>
      <c r="F56" s="95">
        <f>'DOE25'!I60</f>
        <v>0</v>
      </c>
      <c r="G56" s="95">
        <f>'DOE25'!J60</f>
        <v>0</v>
      </c>
      <c r="H56"/>
      <c r="I56"/>
    </row>
    <row r="57" spans="1:9" x14ac:dyDescent="0.2">
      <c r="A57" s="1" t="s">
        <v>164</v>
      </c>
      <c r="B57" s="6" t="s">
        <v>165</v>
      </c>
      <c r="C57" s="95">
        <f>'DOE25'!F79</f>
        <v>1807882.4599999997</v>
      </c>
      <c r="D57" s="24" t="s">
        <v>288</v>
      </c>
      <c r="E57" s="95">
        <f>'DOE25'!H79</f>
        <v>0</v>
      </c>
      <c r="F57" s="24" t="s">
        <v>288</v>
      </c>
      <c r="G57" s="24" t="s">
        <v>288</v>
      </c>
      <c r="H57"/>
      <c r="I57"/>
    </row>
    <row r="58" spans="1:9" x14ac:dyDescent="0.2">
      <c r="A58" s="1" t="s">
        <v>166</v>
      </c>
      <c r="B58" s="6" t="s">
        <v>167</v>
      </c>
      <c r="C58" s="95">
        <f>'DOE25'!F94</f>
        <v>9388</v>
      </c>
      <c r="D58" s="24" t="s">
        <v>288</v>
      </c>
      <c r="E58" s="95">
        <f>'DOE25'!H94</f>
        <v>0</v>
      </c>
      <c r="F58" s="24" t="s">
        <v>288</v>
      </c>
      <c r="G58" s="24" t="s">
        <v>288</v>
      </c>
      <c r="H58"/>
      <c r="I58"/>
    </row>
    <row r="59" spans="1:9" x14ac:dyDescent="0.2">
      <c r="A59" s="69" t="s">
        <v>168</v>
      </c>
      <c r="B59" s="37" t="s">
        <v>169</v>
      </c>
      <c r="C59" s="95">
        <f>'DOE25'!F96</f>
        <v>1612.69</v>
      </c>
      <c r="D59" s="95">
        <f>'DOE25'!G96</f>
        <v>0</v>
      </c>
      <c r="E59" s="95">
        <f>'DOE25'!H96</f>
        <v>0</v>
      </c>
      <c r="F59" s="95">
        <f>'DOE25'!I96</f>
        <v>0</v>
      </c>
      <c r="G59" s="95">
        <f>'DOE25'!J96</f>
        <v>0</v>
      </c>
      <c r="H59"/>
      <c r="I59"/>
    </row>
    <row r="60" spans="1:9" x14ac:dyDescent="0.2">
      <c r="A60" s="1" t="s">
        <v>170</v>
      </c>
      <c r="B60" s="118" t="s">
        <v>171</v>
      </c>
      <c r="C60" s="24" t="s">
        <v>288</v>
      </c>
      <c r="D60" s="95">
        <f>'DOE25'!G97</f>
        <v>29677.85</v>
      </c>
      <c r="E60" s="24" t="s">
        <v>288</v>
      </c>
      <c r="F60" s="24" t="s">
        <v>288</v>
      </c>
      <c r="G60" s="24" t="s">
        <v>288</v>
      </c>
      <c r="H60"/>
      <c r="I60"/>
    </row>
    <row r="61" spans="1:9" ht="12" thickBot="1" x14ac:dyDescent="0.25">
      <c r="A61" s="1" t="s">
        <v>172</v>
      </c>
      <c r="B61" s="118" t="s">
        <v>173</v>
      </c>
      <c r="C61" s="95">
        <f>SUM('DOE25'!F98:F110)</f>
        <v>239854.16</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2058737.3099999996</v>
      </c>
      <c r="D62" s="130">
        <f>SUM(D57:D61)</f>
        <v>29677.85</v>
      </c>
      <c r="E62" s="130">
        <f>SUM(E57:E61)</f>
        <v>0</v>
      </c>
      <c r="F62" s="130">
        <f>SUM(F57:F61)</f>
        <v>0</v>
      </c>
      <c r="G62" s="130">
        <f>SUM(G57:G61)</f>
        <v>0</v>
      </c>
      <c r="H62"/>
      <c r="I62"/>
    </row>
    <row r="63" spans="1:9" ht="12" thickTop="1" x14ac:dyDescent="0.2">
      <c r="A63" s="29" t="s">
        <v>175</v>
      </c>
      <c r="B63" s="6"/>
      <c r="C63" s="22">
        <f>C56+C62</f>
        <v>14769544.309999999</v>
      </c>
      <c r="D63" s="22">
        <f>D56+D62</f>
        <v>29677.85</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7155648.2999999998</v>
      </c>
      <c r="D66" s="24" t="s">
        <v>288</v>
      </c>
      <c r="E66" s="24" t="s">
        <v>288</v>
      </c>
      <c r="F66" s="24" t="s">
        <v>288</v>
      </c>
      <c r="G66" s="24" t="s">
        <v>288</v>
      </c>
      <c r="H66"/>
      <c r="I66"/>
    </row>
    <row r="67" spans="1:9" x14ac:dyDescent="0.2">
      <c r="A67" s="1" t="s">
        <v>770</v>
      </c>
      <c r="B67" s="6">
        <v>3112</v>
      </c>
      <c r="C67" s="95">
        <f>'DOE25'!F118</f>
        <v>1401423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291.89999999999998</v>
      </c>
      <c r="D69" s="95">
        <f>'DOE25'!G120</f>
        <v>0</v>
      </c>
      <c r="E69" s="95">
        <f>'DOE25'!H120</f>
        <v>0</v>
      </c>
      <c r="F69" s="95">
        <f>'DOE25'!I120</f>
        <v>0</v>
      </c>
      <c r="G69" s="95">
        <f>'DOE25'!J120</f>
        <v>0</v>
      </c>
      <c r="H69"/>
      <c r="I69"/>
    </row>
    <row r="70" spans="1:9" ht="12" thickTop="1" x14ac:dyDescent="0.2">
      <c r="A70" s="29" t="s">
        <v>252</v>
      </c>
      <c r="B70" s="2"/>
      <c r="C70" s="139">
        <f>SUM(C66:C69)</f>
        <v>8557363.2000000011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342730.58</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63395.51</v>
      </c>
      <c r="D75" s="24" t="s">
        <v>288</v>
      </c>
      <c r="E75" s="24" t="s">
        <v>288</v>
      </c>
      <c r="F75" s="24" t="s">
        <v>288</v>
      </c>
      <c r="G75" s="24" t="s">
        <v>288</v>
      </c>
      <c r="H75"/>
      <c r="I75"/>
    </row>
    <row r="76" spans="1:9" x14ac:dyDescent="0.2">
      <c r="A76" s="1" t="s">
        <v>257</v>
      </c>
      <c r="B76" s="6" t="s">
        <v>179</v>
      </c>
      <c r="C76" s="95">
        <f>SUM('DOE25'!F127:F130)</f>
        <v>13558.08</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8016.96</v>
      </c>
      <c r="E77" s="95">
        <f>SUM('DOE25'!H131:H135)</f>
        <v>0</v>
      </c>
      <c r="F77" s="95">
        <f>SUM('DOE25'!I131:I135)</f>
        <v>0</v>
      </c>
      <c r="G77" s="95">
        <f>SUM('DOE25'!J131:J135)</f>
        <v>0</v>
      </c>
      <c r="H77"/>
      <c r="I77"/>
    </row>
    <row r="78" spans="1:9" ht="12.75" thickTop="1" thickBot="1" x14ac:dyDescent="0.25">
      <c r="A78" s="29" t="s">
        <v>259</v>
      </c>
      <c r="B78" s="6"/>
      <c r="C78" s="130">
        <f>SUM(C72:C77)</f>
        <v>419684.17000000004</v>
      </c>
      <c r="D78" s="130">
        <f>SUM(D72:D77)</f>
        <v>8016.96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8977047.370000001</v>
      </c>
      <c r="D81" s="130">
        <f>SUM(D79:D80)+D78+D70</f>
        <v>8016.96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129266.35</v>
      </c>
      <c r="D88" s="331">
        <f>SUM('DOE25'!G153:G162)</f>
        <v>388827.87</v>
      </c>
      <c r="E88" s="331">
        <f>SUM('DOE25'!H153:H162)</f>
        <v>968375.14</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129266.35</v>
      </c>
      <c r="D91" s="131">
        <f>SUM(D85:D90)</f>
        <v>388827.87</v>
      </c>
      <c r="E91" s="131">
        <f>SUM(E85:E90)</f>
        <v>968375.14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50000</v>
      </c>
      <c r="E96" s="95">
        <f>'DOE25'!H180</f>
        <v>0</v>
      </c>
      <c r="F96" s="95">
        <f>'DOE25'!I180</f>
        <v>0</v>
      </c>
      <c r="G96" s="95">
        <f>'DOE25'!J180</f>
        <v>200000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50000</v>
      </c>
      <c r="E103" s="86">
        <f>SUM(E93:E102)</f>
        <v>0</v>
      </c>
      <c r="F103" s="86">
        <f>SUM(F93:F102)</f>
        <v>0</v>
      </c>
      <c r="G103" s="86">
        <f>SUM(G93:G102)</f>
        <v>200000</v>
      </c>
    </row>
    <row r="104" spans="1:7" ht="12.75" thickTop="1" thickBot="1" x14ac:dyDescent="0.25">
      <c r="A104" s="33" t="s">
        <v>761</v>
      </c>
      <c r="C104" s="86">
        <f>C63+C81+C91+C103</f>
        <v>23875858.030000001</v>
      </c>
      <c r="D104" s="86">
        <f>D63+D81+D91+D103</f>
        <v>476522.68</v>
      </c>
      <c r="E104" s="86">
        <f>E63+E81+E91+E103</f>
        <v>968375.14</v>
      </c>
      <c r="F104" s="86">
        <f>F63+F81+F91+F103</f>
        <v>0</v>
      </c>
      <c r="G104" s="86">
        <f>G63+G81+G103</f>
        <v>200000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8253437.0099999998</v>
      </c>
      <c r="D109" s="24" t="s">
        <v>288</v>
      </c>
      <c r="E109" s="95">
        <f>('DOE25'!L277)+('DOE25'!L296)+('DOE25'!L315)</f>
        <v>1710193.59</v>
      </c>
      <c r="F109" s="24" t="s">
        <v>288</v>
      </c>
      <c r="G109" s="24" t="s">
        <v>288</v>
      </c>
    </row>
    <row r="110" spans="1:7" x14ac:dyDescent="0.2">
      <c r="A110" t="s">
        <v>198</v>
      </c>
      <c r="B110" s="32" t="s">
        <v>199</v>
      </c>
      <c r="C110" s="95">
        <f>('DOE25'!L199)+('DOE25'!L217)+('DOE25'!L235)</f>
        <v>4568151.49</v>
      </c>
      <c r="D110" s="24" t="s">
        <v>288</v>
      </c>
      <c r="E110" s="95">
        <f>('DOE25'!L278)+('DOE25'!L297)+('DOE25'!L316)</f>
        <v>0</v>
      </c>
      <c r="F110" s="24" t="s">
        <v>288</v>
      </c>
      <c r="G110" s="24" t="s">
        <v>288</v>
      </c>
    </row>
    <row r="111" spans="1:7" x14ac:dyDescent="0.2">
      <c r="A111" t="s">
        <v>200</v>
      </c>
      <c r="B111" s="32" t="s">
        <v>165</v>
      </c>
      <c r="C111" s="95">
        <f>('DOE25'!L200)+('DOE25'!L218)+('DOE25'!L236)</f>
        <v>59800.6</v>
      </c>
      <c r="D111" s="24" t="s">
        <v>288</v>
      </c>
      <c r="E111" s="95">
        <f>('DOE25'!L279)+('DOE25'!L298)+('DOE25'!L317)</f>
        <v>0</v>
      </c>
      <c r="F111" s="24" t="s">
        <v>288</v>
      </c>
      <c r="G111" s="24" t="s">
        <v>288</v>
      </c>
    </row>
    <row r="112" spans="1:7" x14ac:dyDescent="0.2">
      <c r="A112" t="s">
        <v>201</v>
      </c>
      <c r="B112" s="32" t="s">
        <v>167</v>
      </c>
      <c r="C112" s="95">
        <f>('DOE25'!L201)+('DOE25'!L219)+('DOE25'!L237)</f>
        <v>313184.83</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13194573.93</v>
      </c>
      <c r="D115" s="86">
        <f>SUM(D109:D114)</f>
        <v>0</v>
      </c>
      <c r="E115" s="86">
        <f>SUM(E109:E114)</f>
        <v>1710193.59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2139284.25</v>
      </c>
      <c r="D118" s="24" t="s">
        <v>288</v>
      </c>
      <c r="E118" s="95">
        <f>+('DOE25'!L282)+('DOE25'!L301)+('DOE25'!L320)</f>
        <v>0</v>
      </c>
      <c r="F118" s="24" t="s">
        <v>288</v>
      </c>
      <c r="G118" s="24" t="s">
        <v>288</v>
      </c>
    </row>
    <row r="119" spans="1:7" x14ac:dyDescent="0.2">
      <c r="A119" t="s">
        <v>208</v>
      </c>
      <c r="B119" s="32" t="s">
        <v>209</v>
      </c>
      <c r="C119" s="95">
        <f>('DOE25'!L204)+('DOE25'!L222)+('DOE25'!L240)</f>
        <v>1098188.05</v>
      </c>
      <c r="D119" s="24" t="s">
        <v>288</v>
      </c>
      <c r="E119" s="95">
        <f>+('DOE25'!L283)+('DOE25'!L302)+('DOE25'!L321)</f>
        <v>0</v>
      </c>
      <c r="F119" s="24" t="s">
        <v>288</v>
      </c>
      <c r="G119" s="24" t="s">
        <v>288</v>
      </c>
    </row>
    <row r="120" spans="1:7" x14ac:dyDescent="0.2">
      <c r="A120" t="s">
        <v>210</v>
      </c>
      <c r="B120" s="32" t="s">
        <v>211</v>
      </c>
      <c r="C120" s="95">
        <f>('DOE25'!L205)+('DOE25'!L223)+('DOE25'!L241)</f>
        <v>1155931.27</v>
      </c>
      <c r="D120" s="24" t="s">
        <v>288</v>
      </c>
      <c r="E120" s="95">
        <f>+('DOE25'!L284)+('DOE25'!L303)+('DOE25'!L322)</f>
        <v>0</v>
      </c>
      <c r="F120" s="24" t="s">
        <v>288</v>
      </c>
      <c r="G120" s="24" t="s">
        <v>288</v>
      </c>
    </row>
    <row r="121" spans="1:7" x14ac:dyDescent="0.2">
      <c r="A121" t="s">
        <v>212</v>
      </c>
      <c r="B121" s="32" t="s">
        <v>213</v>
      </c>
      <c r="C121" s="95">
        <f>('DOE25'!L206)+('DOE25'!L224)+('DOE25'!L242)</f>
        <v>1212857.18</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2115696.79</v>
      </c>
      <c r="D123" s="24" t="s">
        <v>288</v>
      </c>
      <c r="E123" s="95">
        <f>+('DOE25'!L287)+('DOE25'!L306)+('DOE25'!L325)</f>
        <v>0</v>
      </c>
      <c r="F123" s="24" t="s">
        <v>288</v>
      </c>
      <c r="G123" s="24" t="s">
        <v>288</v>
      </c>
    </row>
    <row r="124" spans="1:7" x14ac:dyDescent="0.2">
      <c r="A124" t="s">
        <v>218</v>
      </c>
      <c r="B124" s="32" t="s">
        <v>219</v>
      </c>
      <c r="C124" s="95">
        <f>('DOE25'!L209)+('DOE25'!L227)+('DOE25'!L245+'DOE25'!L255)</f>
        <v>841430.3</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567369.23</v>
      </c>
      <c r="E127" s="24" t="s">
        <v>288</v>
      </c>
      <c r="F127" s="24" t="s">
        <v>288</v>
      </c>
      <c r="G127" s="24" t="s">
        <v>288</v>
      </c>
    </row>
    <row r="128" spans="1:7" ht="12.75" thickTop="1" thickBot="1" x14ac:dyDescent="0.25">
      <c r="A128" s="33" t="s">
        <v>226</v>
      </c>
      <c r="C128" s="86">
        <f>SUM(C118:C127)</f>
        <v>8563387.8399999999</v>
      </c>
      <c r="D128" s="86">
        <f>SUM(D118:D127)</f>
        <v>567369.23</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735000</v>
      </c>
      <c r="D131" s="24" t="s">
        <v>288</v>
      </c>
      <c r="E131" s="129">
        <f>'DOE25'!L342</f>
        <v>0</v>
      </c>
      <c r="F131" s="24" t="s">
        <v>288</v>
      </c>
      <c r="G131" s="24" t="s">
        <v>288</v>
      </c>
    </row>
    <row r="132" spans="1:7" x14ac:dyDescent="0.2">
      <c r="A132" t="s">
        <v>230</v>
      </c>
      <c r="B132" s="32">
        <v>5120</v>
      </c>
      <c r="C132" s="95">
        <f>'DOE25'!L262</f>
        <v>91875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50000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200000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1076875</v>
      </c>
      <c r="D144" s="141">
        <f>SUM(D130:D143)</f>
        <v>0</v>
      </c>
      <c r="E144" s="141">
        <f>SUM(E130:E143)</f>
        <v>0</v>
      </c>
      <c r="F144" s="141">
        <f>SUM(F130:F143)</f>
        <v>0</v>
      </c>
      <c r="G144" s="141">
        <f>SUM(G130:G143)</f>
        <v>0</v>
      </c>
    </row>
    <row r="145" spans="1:9" ht="12.75" thickTop="1" thickBot="1" x14ac:dyDescent="0.25">
      <c r="A145" s="33" t="s">
        <v>244</v>
      </c>
      <c r="C145" s="86">
        <f>(C115+C128+C144)</f>
        <v>22834836.77</v>
      </c>
      <c r="D145" s="86">
        <f>(D115+D128+D144)</f>
        <v>567369.23</v>
      </c>
      <c r="E145" s="86">
        <f>(E115+E128+E144)</f>
        <v>1710193.59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Hillsboro-Deering School Disitrict</v>
      </c>
    </row>
    <row r="3" spans="1:4" x14ac:dyDescent="0.2">
      <c r="B3" s="188" t="s">
        <v>1666</v>
      </c>
    </row>
    <row r="4" spans="1:4" x14ac:dyDescent="0.2">
      <c r="B4" t="s">
        <v>61</v>
      </c>
      <c r="C4" s="179">
        <f>IF('DOE25'!F666+'DOE25'!F671=0,0,ROUND('DOE25'!F673,0))</f>
        <v>22306</v>
      </c>
    </row>
    <row r="5" spans="1:4" x14ac:dyDescent="0.2">
      <c r="B5" t="s">
        <v>700</v>
      </c>
      <c r="C5" s="179">
        <f>IF('DOE25'!G666+'DOE25'!G671=0,0,ROUND('DOE25'!G673,0))</f>
        <v>19464</v>
      </c>
    </row>
    <row r="6" spans="1:4" x14ac:dyDescent="0.2">
      <c r="B6" t="s">
        <v>62</v>
      </c>
      <c r="C6" s="179">
        <f>IF('DOE25'!H666+'DOE25'!H671=0,0,ROUND('DOE25'!H673,0))</f>
        <v>21470</v>
      </c>
    </row>
    <row r="7" spans="1:4" x14ac:dyDescent="0.2">
      <c r="B7" t="s">
        <v>701</v>
      </c>
      <c r="C7" s="179">
        <f>IF('DOE25'!I666+'DOE25'!I671=0,0,ROUND('DOE25'!I673,0))</f>
        <v>21270</v>
      </c>
    </row>
    <row r="9" spans="1:4" x14ac:dyDescent="0.2">
      <c r="A9" s="187" t="s">
        <v>94</v>
      </c>
      <c r="B9" s="188" t="s">
        <v>1671</v>
      </c>
      <c r="C9" s="181" t="s">
        <v>720</v>
      </c>
      <c r="D9" s="181" t="s">
        <v>721</v>
      </c>
    </row>
    <row r="10" spans="1:4" x14ac:dyDescent="0.2">
      <c r="A10">
        <v>1100</v>
      </c>
      <c r="B10" t="s">
        <v>702</v>
      </c>
      <c r="C10" s="179">
        <f>ROUND('DOE25'!L198+'DOE25'!L216+'DOE25'!L234+'DOE25'!L277+'DOE25'!L296+'DOE25'!L315,0)</f>
        <v>9963631</v>
      </c>
      <c r="D10" s="182">
        <f>ROUND((C10/$C$28)*100,1)</f>
        <v>41.3</v>
      </c>
    </row>
    <row r="11" spans="1:4" x14ac:dyDescent="0.2">
      <c r="A11">
        <v>1200</v>
      </c>
      <c r="B11" t="s">
        <v>703</v>
      </c>
      <c r="C11" s="179">
        <f>ROUND('DOE25'!L199+'DOE25'!L217+'DOE25'!L235+'DOE25'!L278+'DOE25'!L297+'DOE25'!L316,0)</f>
        <v>4568151</v>
      </c>
      <c r="D11" s="182">
        <f>ROUND((C11/$C$28)*100,1)</f>
        <v>19</v>
      </c>
    </row>
    <row r="12" spans="1:4" x14ac:dyDescent="0.2">
      <c r="A12">
        <v>1300</v>
      </c>
      <c r="B12" t="s">
        <v>704</v>
      </c>
      <c r="C12" s="179">
        <f>ROUND('DOE25'!L200+'DOE25'!L218+'DOE25'!L236+'DOE25'!L279+'DOE25'!L298+'DOE25'!L317,0)</f>
        <v>59801</v>
      </c>
      <c r="D12" s="182">
        <f>ROUND((C12/$C$28)*100,1)</f>
        <v>0.2</v>
      </c>
    </row>
    <row r="13" spans="1:4" x14ac:dyDescent="0.2">
      <c r="A13">
        <v>1400</v>
      </c>
      <c r="B13" t="s">
        <v>705</v>
      </c>
      <c r="C13" s="179">
        <f>ROUND('DOE25'!L201+'DOE25'!L219+'DOE25'!L237+'DOE25'!L280+'DOE25'!L299+'DOE25'!L318,0)</f>
        <v>313185</v>
      </c>
      <c r="D13" s="182">
        <f>ROUND((C13/$C$28)*100,1)</f>
        <v>1.3</v>
      </c>
    </row>
    <row r="14" spans="1:4" x14ac:dyDescent="0.2">
      <c r="D14" s="182"/>
    </row>
    <row r="15" spans="1:4" x14ac:dyDescent="0.2">
      <c r="A15">
        <v>2100</v>
      </c>
      <c r="B15" t="s">
        <v>706</v>
      </c>
      <c r="C15" s="179">
        <f>ROUND('DOE25'!L203+'DOE25'!L221+'DOE25'!L239+'DOE25'!L282+'DOE25'!L301+'DOE25'!L320,0)</f>
        <v>2139284</v>
      </c>
      <c r="D15" s="182">
        <f t="shared" ref="D15:D27" si="0">ROUND((C15/$C$28)*100,1)</f>
        <v>8.9</v>
      </c>
    </row>
    <row r="16" spans="1:4" x14ac:dyDescent="0.2">
      <c r="A16">
        <v>2200</v>
      </c>
      <c r="B16" t="s">
        <v>707</v>
      </c>
      <c r="C16" s="179">
        <f>ROUND('DOE25'!L204+'DOE25'!L222+'DOE25'!L240+'DOE25'!L283+'DOE25'!L302+'DOE25'!L321,0)</f>
        <v>1098188</v>
      </c>
      <c r="D16" s="182">
        <f t="shared" si="0"/>
        <v>4.5999999999999996</v>
      </c>
    </row>
    <row r="17" spans="1:4" x14ac:dyDescent="0.2">
      <c r="A17" s="183" t="s">
        <v>723</v>
      </c>
      <c r="B17" t="s">
        <v>738</v>
      </c>
      <c r="C17" s="179">
        <f>ROUND('DOE25'!L205+'DOE25'!L210+'DOE25'!L223+'DOE25'!L228+'DOE25'!L241+'DOE25'!L246+'DOE25'!L284+'DOE25'!L289+'DOE25'!L303+'DOE25'!L308+'DOE25'!L322+'DOE25'!L327,0)</f>
        <v>1155931</v>
      </c>
      <c r="D17" s="182">
        <f t="shared" si="0"/>
        <v>4.8</v>
      </c>
    </row>
    <row r="18" spans="1:4" x14ac:dyDescent="0.2">
      <c r="A18">
        <v>2400</v>
      </c>
      <c r="B18" t="s">
        <v>711</v>
      </c>
      <c r="C18" s="179">
        <f>ROUND('DOE25'!L206+'DOE25'!L224+'DOE25'!L242+'DOE25'!L285+'DOE25'!L304+'DOE25'!L323,0)</f>
        <v>1212857</v>
      </c>
      <c r="D18" s="182">
        <f t="shared" si="0"/>
        <v>5</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2115697</v>
      </c>
      <c r="D20" s="182">
        <f t="shared" si="0"/>
        <v>8.8000000000000007</v>
      </c>
    </row>
    <row r="21" spans="1:4" x14ac:dyDescent="0.2">
      <c r="A21">
        <v>2700</v>
      </c>
      <c r="B21" t="s">
        <v>710</v>
      </c>
      <c r="C21" s="179">
        <f>ROUND('DOE25'!L209+'DOE25'!L227+'DOE25'!L245+'DOE25'!L288+'DOE25'!L307+'DOE25'!L326,0)</f>
        <v>841430</v>
      </c>
      <c r="D21" s="182">
        <f t="shared" si="0"/>
        <v>3.5</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91875</v>
      </c>
      <c r="D25" s="182">
        <f t="shared" si="0"/>
        <v>0.4</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537691.15</v>
      </c>
      <c r="D27" s="182">
        <f t="shared" si="0"/>
        <v>2.2000000000000002</v>
      </c>
    </row>
    <row r="28" spans="1:4" x14ac:dyDescent="0.2">
      <c r="B28" s="187" t="s">
        <v>719</v>
      </c>
      <c r="C28" s="180">
        <f>SUM(C10:C27)</f>
        <v>24097721.149999999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24097721.149999999</v>
      </c>
    </row>
    <row r="31" spans="1:4" x14ac:dyDescent="0.2">
      <c r="B31" s="33"/>
      <c r="C31" s="180"/>
    </row>
    <row r="32" spans="1:4" x14ac:dyDescent="0.2">
      <c r="A32">
        <v>5100</v>
      </c>
      <c r="B32" s="33" t="s">
        <v>726</v>
      </c>
      <c r="C32" s="180">
        <f>ROUND('DOE25'!L261+'DOE25'!L342,0)</f>
        <v>735000</v>
      </c>
    </row>
    <row r="34" spans="1:4" x14ac:dyDescent="0.2">
      <c r="A34" s="187" t="s">
        <v>94</v>
      </c>
      <c r="B34" s="188" t="s">
        <v>1667</v>
      </c>
      <c r="C34" s="181" t="s">
        <v>720</v>
      </c>
      <c r="D34" s="181" t="s">
        <v>721</v>
      </c>
    </row>
    <row r="35" spans="1:4" x14ac:dyDescent="0.2">
      <c r="A35">
        <v>1100</v>
      </c>
      <c r="B35" s="185" t="s">
        <v>727</v>
      </c>
      <c r="C35" s="179">
        <f>ROUND('DOE25'!F60+'DOE25'!G60+'DOE25'!H60+'DOE25'!I60+'DOE25'!J60,0)</f>
        <v>12710807</v>
      </c>
      <c r="D35" s="182">
        <f t="shared" ref="D35:D40" si="1">ROUND((C35/$C$41)*100,1)</f>
        <v>50.4</v>
      </c>
    </row>
    <row r="36" spans="1:4" x14ac:dyDescent="0.2">
      <c r="B36" s="185" t="s">
        <v>739</v>
      </c>
      <c r="C36" s="179">
        <f>SUM('DOE25'!F112:J112)-SUM('DOE25'!G97:G110)+('DOE25'!F175+'DOE25'!F176+'DOE25'!I175+'DOE25'!I176)-C35</f>
        <v>2058737.3099999987</v>
      </c>
      <c r="D36" s="182">
        <f t="shared" si="1"/>
        <v>8.1999999999999993</v>
      </c>
    </row>
    <row r="37" spans="1:4" x14ac:dyDescent="0.2">
      <c r="A37" s="183" t="s">
        <v>835</v>
      </c>
      <c r="B37" s="185" t="s">
        <v>728</v>
      </c>
      <c r="C37" s="179">
        <f>ROUND('DOE25'!F117+'DOE25'!F118,0)</f>
        <v>8557071</v>
      </c>
      <c r="D37" s="182">
        <f t="shared" si="1"/>
        <v>33.9</v>
      </c>
    </row>
    <row r="38" spans="1:4" x14ac:dyDescent="0.2">
      <c r="A38" s="183" t="s">
        <v>734</v>
      </c>
      <c r="B38" s="185" t="s">
        <v>729</v>
      </c>
      <c r="C38" s="179">
        <f>ROUND(SUM('DOE25'!F140:J140)-SUM('DOE25'!F117:F119),0)</f>
        <v>427993</v>
      </c>
      <c r="D38" s="182">
        <f t="shared" si="1"/>
        <v>1.7</v>
      </c>
    </row>
    <row r="39" spans="1:4" x14ac:dyDescent="0.2">
      <c r="A39">
        <v>4000</v>
      </c>
      <c r="B39" s="185" t="s">
        <v>730</v>
      </c>
      <c r="C39" s="179">
        <f>ROUND('DOE25'!F170+'DOE25'!G170+'DOE25'!H170+'DOE25'!I170,0)</f>
        <v>1486469</v>
      </c>
      <c r="D39" s="182">
        <f t="shared" si="1"/>
        <v>5.9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25241077.309999999</v>
      </c>
      <c r="D41" s="184">
        <f>SUM(D35:D40)</f>
        <v>100.10000000000001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Hillsboro-Deering School Disitrict</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2021-11-18T18:46:04Z</cp:lastPrinted>
  <dcterms:created xsi:type="dcterms:W3CDTF">1997-12-04T19:04:30Z</dcterms:created>
  <dcterms:modified xsi:type="dcterms:W3CDTF">2021-12-21T13:55:52Z</dcterms:modified>
</cp:coreProperties>
</file>