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8800" windowHeight="117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496" i="1" l="1"/>
  <c r="G499" i="1" s="1"/>
  <c r="G500" i="1"/>
  <c r="F500" i="1"/>
  <c r="F503" i="1"/>
  <c r="F50" i="1" l="1"/>
  <c r="H543" i="1" l="1"/>
  <c r="H544" i="1"/>
  <c r="F110" i="1"/>
  <c r="F466" i="1" l="1"/>
  <c r="D37" i="14" l="1"/>
  <c r="F15" i="13" l="1"/>
  <c r="F14" i="13"/>
  <c r="F6" i="13"/>
  <c r="F5" i="13"/>
  <c r="F13" i="1" l="1"/>
  <c r="H466" i="1"/>
  <c r="I418" i="1" l="1"/>
  <c r="J418" i="1"/>
  <c r="I466" i="1"/>
  <c r="H369" i="1" l="1"/>
  <c r="G369" i="1"/>
  <c r="H227" i="1"/>
  <c r="G460" i="1" l="1"/>
  <c r="H397" i="1" l="1"/>
  <c r="G449" i="1" l="1"/>
  <c r="G443" i="1"/>
  <c r="H23" i="1"/>
  <c r="H13" i="1"/>
  <c r="G158" i="1"/>
  <c r="G97" i="1"/>
  <c r="G9" i="1"/>
  <c r="F118" i="1" l="1"/>
  <c r="J423" i="1" l="1"/>
  <c r="J302" i="1"/>
  <c r="F302" i="1"/>
  <c r="H302" i="1"/>
  <c r="I297" i="1"/>
  <c r="F297" i="1"/>
  <c r="J296" i="1"/>
  <c r="F296" i="1"/>
  <c r="H368" i="1"/>
  <c r="G368" i="1"/>
  <c r="J361" i="1"/>
  <c r="I361" i="1"/>
  <c r="H361" i="1"/>
  <c r="F361" i="1"/>
  <c r="I360" i="1"/>
  <c r="H360" i="1"/>
  <c r="F360" i="1"/>
  <c r="I524" i="1"/>
  <c r="I523" i="1"/>
  <c r="H524" i="1"/>
  <c r="H523" i="1"/>
  <c r="G534" i="1"/>
  <c r="G533" i="1"/>
  <c r="G524" i="1"/>
  <c r="F529" i="1"/>
  <c r="G529" i="1" s="1"/>
  <c r="F524" i="1"/>
  <c r="F528" i="1"/>
  <c r="G528" i="1" s="1"/>
  <c r="F523" i="1"/>
  <c r="G523" i="1" s="1"/>
  <c r="J592" i="1" l="1"/>
  <c r="J594" i="1"/>
  <c r="J593" i="1"/>
  <c r="H237" i="1"/>
  <c r="H245" i="1"/>
  <c r="K267" i="1" l="1"/>
  <c r="K262" i="1"/>
  <c r="K261" i="1"/>
  <c r="J256" i="1" l="1"/>
  <c r="I226" i="1"/>
  <c r="I224" i="1"/>
  <c r="H223" i="1"/>
  <c r="I244" i="1"/>
  <c r="I242" i="1"/>
  <c r="H241" i="1"/>
  <c r="I227" i="1" l="1"/>
  <c r="K226" i="1"/>
  <c r="H226" i="1"/>
  <c r="K224" i="1"/>
  <c r="H224" i="1"/>
  <c r="F224" i="1"/>
  <c r="F223" i="1"/>
  <c r="I222" i="1"/>
  <c r="F222" i="1"/>
  <c r="H221" i="1"/>
  <c r="F221" i="1"/>
  <c r="J219" i="1"/>
  <c r="H219" i="1"/>
  <c r="F219" i="1"/>
  <c r="H217" i="1"/>
  <c r="F217" i="1"/>
  <c r="J216" i="1"/>
  <c r="F216" i="1"/>
  <c r="I245" i="1" l="1"/>
  <c r="K244" i="1"/>
  <c r="H244" i="1"/>
  <c r="F244" i="1"/>
  <c r="K242" i="1"/>
  <c r="H242" i="1"/>
  <c r="F242" i="1"/>
  <c r="I241" i="1"/>
  <c r="F241" i="1"/>
  <c r="I240" i="1"/>
  <c r="F240" i="1"/>
  <c r="F239" i="1"/>
  <c r="H239" i="1"/>
  <c r="J237" i="1"/>
  <c r="F237" i="1"/>
  <c r="H235" i="1"/>
  <c r="F235" i="1"/>
  <c r="J234" i="1"/>
  <c r="F234" i="1"/>
  <c r="H236" i="1" l="1"/>
  <c r="I235" i="1"/>
  <c r="F226" i="1" l="1"/>
  <c r="F63" i="1"/>
  <c r="F57" i="1"/>
  <c r="F29" i="1"/>
  <c r="F14" i="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E131" i="2" s="1"/>
  <c r="L343" i="1"/>
  <c r="L256" i="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F121" i="1"/>
  <c r="F136" i="1"/>
  <c r="G121" i="1"/>
  <c r="G136" i="1"/>
  <c r="H121" i="1"/>
  <c r="H136" i="1"/>
  <c r="I121" i="1"/>
  <c r="I136" i="1"/>
  <c r="J121" i="1"/>
  <c r="J136" i="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2" i="1"/>
  <c r="G653" i="1"/>
  <c r="H653" i="1"/>
  <c r="G654" i="1"/>
  <c r="H654" i="1"/>
  <c r="G655" i="1"/>
  <c r="H655" i="1"/>
  <c r="H656" i="1"/>
  <c r="J656" i="1" s="1"/>
  <c r="I170" i="1"/>
  <c r="K339" i="1" l="1"/>
  <c r="K353" i="1" s="1"/>
  <c r="J572" i="1"/>
  <c r="J652" i="1"/>
  <c r="G409" i="1"/>
  <c r="H646" i="1" s="1"/>
  <c r="J646" i="1" s="1"/>
  <c r="J112" i="1"/>
  <c r="G339" i="1"/>
  <c r="G353" i="1" s="1"/>
  <c r="J140" i="1"/>
  <c r="J194" i="1" s="1"/>
  <c r="G647" i="1" s="1"/>
  <c r="H140" i="1"/>
  <c r="C32" i="10"/>
  <c r="D18" i="13"/>
  <c r="C18" i="13" s="1"/>
  <c r="C12" i="12"/>
  <c r="C10" i="12"/>
  <c r="C21" i="12"/>
  <c r="C20" i="12"/>
  <c r="C19" i="12"/>
  <c r="C37" i="12"/>
  <c r="C39" i="12"/>
  <c r="D50" i="2"/>
  <c r="H477" i="1"/>
  <c r="H625" i="1" s="1"/>
  <c r="J625" i="1" s="1"/>
  <c r="H409" i="1"/>
  <c r="H645" i="1" s="1"/>
  <c r="J645" i="1" s="1"/>
  <c r="E123" i="2"/>
  <c r="E119" i="2"/>
  <c r="E110" i="2"/>
  <c r="G662" i="1"/>
  <c r="G553" i="1"/>
  <c r="C119" i="2"/>
  <c r="J258" i="1"/>
  <c r="J272" i="1" s="1"/>
  <c r="H663" i="1"/>
  <c r="C112" i="2"/>
  <c r="C110" i="2"/>
  <c r="D15" i="13"/>
  <c r="C15" i="13" s="1"/>
  <c r="E13" i="13"/>
  <c r="C13" i="13" s="1"/>
  <c r="C121" i="2"/>
  <c r="C120" i="2"/>
  <c r="D6" i="13"/>
  <c r="C6" i="13"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J653" i="1"/>
  <c r="G572" i="1"/>
  <c r="I435" i="1"/>
  <c r="G435" i="1"/>
  <c r="I664" i="1"/>
  <c r="L572" i="1" l="1"/>
  <c r="E115" i="2"/>
  <c r="D51" i="2"/>
  <c r="H649" i="1"/>
  <c r="J649" i="1" s="1"/>
  <c r="E128" i="2"/>
  <c r="E145" i="2" s="1"/>
  <c r="C40" i="12"/>
  <c r="A40" i="12" s="1"/>
  <c r="C13" i="12"/>
  <c r="A13" i="12" s="1"/>
  <c r="C22" i="12"/>
  <c r="A22" i="12" s="1"/>
  <c r="C141" i="2"/>
  <c r="C144" i="2" s="1"/>
  <c r="F194" i="1"/>
  <c r="H194" i="1"/>
  <c r="G630" i="1" s="1"/>
  <c r="J630" i="1" s="1"/>
  <c r="I663" i="1"/>
  <c r="H661" i="1"/>
  <c r="H665" i="1" s="1"/>
  <c r="H668" i="1" s="1"/>
  <c r="C8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<sst xmlns="http://schemas.openxmlformats.org/spreadsheetml/2006/main" count="5580" uniqueCount="1680">
  <si>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</si>
  <si>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</si>
  <si>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</si>
  <si>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</si>
  <si>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</si>
  <si>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</si>
  <si>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</si>
  <si>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</si>
  <si>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</si>
  <si>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</si>
  <si>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</si>
  <si>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</si>
  <si>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</si>
  <si>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</si>
  <si>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</si>
  <si>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</si>
  <si>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</si>
  <si>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</si>
  <si>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</si>
  <si>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</si>
  <si>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</si>
  <si>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</si>
  <si>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</si>
  <si>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</si>
  <si>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</si>
  <si>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</si>
  <si>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</si>
  <si>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</si>
  <si>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</si>
  <si>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</si>
  <si>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</si>
  <si>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</si>
  <si>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</si>
  <si>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</si>
  <si>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</si>
  <si>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</si>
  <si>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</si>
  <si>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</si>
  <si>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</si>
  <si>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</si>
  <si>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</si>
  <si>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</si>
  <si>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</si>
  <si>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</si>
  <si>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</si>
  <si>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</si>
  <si>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</si>
  <si>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</si>
  <si>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</si>
  <si>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</si>
  <si>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</si>
  <si>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</si>
  <si>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</si>
  <si>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</si>
  <si>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</si>
  <si>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</si>
  <si>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</si>
  <si>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</si>
  <si>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</si>
  <si>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</si>
  <si>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</si>
  <si>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</si>
  <si>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</si>
  <si>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</si>
  <si>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</si>
  <si>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</si>
  <si>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</si>
  <si>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</si>
  <si>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</si>
  <si>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</si>
  <si>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</si>
  <si>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</si>
  <si>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</si>
  <si>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</si>
  <si>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</si>
  <si>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</si>
  <si>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</si>
  <si>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</si>
  <si>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</si>
  <si>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</si>
  <si>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</si>
  <si>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</si>
  <si>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</si>
  <si>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</si>
  <si>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</si>
  <si>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</si>
  <si>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</si>
  <si>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</si>
  <si>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</si>
  <si>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</si>
  <si>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</si>
  <si>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</si>
  <si>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</si>
  <si>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</si>
  <si>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</si>
  <si>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</si>
  <si>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</si>
  <si>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</si>
  <si>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</si>
  <si>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</si>
  <si>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</si>
  <si>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</si>
  <si>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</si>
  <si>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</si>
  <si>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</si>
  <si>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</si>
  <si>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</si>
  <si>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</si>
  <si>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</si>
  <si>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</si>
  <si>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</si>
  <si>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</si>
  <si>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</si>
  <si>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</si>
  <si>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</si>
  <si>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</si>
  <si>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</si>
  <si>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</si>
  <si>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</si>
  <si>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</si>
  <si>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</si>
  <si>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</si>
  <si>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</si>
  <si>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</si>
  <si>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</si>
  <si>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</si>
  <si>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</si>
  <si>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</si>
  <si>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</si>
  <si>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</si>
  <si>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</si>
  <si>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</si>
  <si>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</si>
  <si>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</si>
  <si>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</si>
  <si>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</si>
  <si>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</si>
  <si>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</si>
  <si>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</si>
  <si>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</si>
  <si>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</si>
  <si>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</si>
  <si>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</si>
  <si>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</si>
  <si>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</si>
  <si>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</si>
  <si>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</si>
  <si>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</si>
  <si>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</si>
  <si>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</si>
  <si>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</si>
  <si>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</si>
  <si>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</si>
  <si>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</si>
  <si>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</si>
  <si>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</si>
  <si>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</si>
  <si>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</si>
  <si>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</si>
  <si>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</si>
  <si>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</si>
  <si>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</si>
  <si>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</si>
  <si>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</si>
  <si>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</si>
  <si>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</si>
  <si>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</si>
  <si>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</si>
  <si>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</si>
  <si>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</si>
  <si>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</si>
  <si>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</si>
  <si>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</si>
  <si>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</si>
  <si>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</si>
  <si>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</si>
  <si>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</si>
  <si>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</si>
  <si>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</si>
  <si>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</si>
  <si>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</si>
  <si>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</si>
  <si>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</si>
  <si>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</si>
  <si>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</si>
  <si>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</si>
  <si>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</si>
  <si>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</si>
  <si>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</si>
  <si>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</si>
  <si>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</si>
  <si>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</si>
  <si>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</si>
  <si>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</si>
  <si>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</si>
  <si>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</si>
  <si>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</si>
  <si>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</si>
  <si>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</si>
  <si>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</si>
  <si>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</si>
  <si>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</si>
  <si>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</si>
  <si>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</si>
  <si>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</si>
  <si>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</si>
  <si>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</si>
  <si>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</si>
  <si>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</si>
  <si>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</si>
  <si>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</si>
  <si>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</si>
  <si>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</si>
  <si>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</si>
  <si>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</si>
  <si>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</si>
  <si>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</si>
  <si>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</si>
  <si>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</si>
  <si>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</si>
  <si>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</si>
  <si>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</si>
  <si>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</si>
  <si>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</si>
  <si>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</si>
  <si>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</si>
  <si>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</si>
  <si>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</si>
  <si>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</si>
  <si>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</si>
  <si>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</si>
  <si>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</si>
  <si>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</si>
  <si>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</si>
  <si>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</si>
  <si>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</si>
  <si>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</si>
  <si>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</si>
  <si>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</si>
  <si>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</si>
  <si>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</si>
  <si>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</si>
  <si>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</si>
  <si>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</si>
  <si>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</si>
  <si>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</si>
  <si>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</si>
  <si>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</si>
  <si>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</si>
  <si>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</si>
  <si>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</si>
  <si>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</si>
  <si>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</si>
  <si>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</si>
  <si>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</si>
  <si>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</si>
  <si>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</si>
  <si>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</si>
  <si>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</si>
  <si>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</si>
  <si>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</si>
  <si>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</si>
  <si>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</si>
  <si>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</si>
  <si>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</si>
  <si>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</si>
  <si>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</si>
  <si>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</si>
  <si>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</si>
  <si>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</si>
  <si>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</si>
  <si>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</si>
  <si>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</si>
  <si>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</si>
  <si>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</si>
  <si>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</si>
  <si>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</si>
  <si>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</si>
  <si>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</si>
  <si>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</si>
  <si>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</si>
  <si>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</si>
  <si>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</si>
  <si>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</si>
  <si>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</si>
  <si>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</si>
  <si>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</si>
  <si>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</si>
  <si>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</si>
  <si>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</si>
  <si>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</si>
  <si>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</si>
  <si>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</si>
  <si>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</si>
  <si>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</si>
  <si>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</si>
  <si>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</si>
  <si>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</si>
  <si>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</si>
  <si>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</si>
  <si>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</si>
  <si>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</si>
  <si>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</si>
  <si>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</si>
  <si>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</si>
  <si>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</si>
  <si>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</si>
  <si>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</si>
  <si>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</si>
  <si>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</si>
  <si>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</si>
  <si>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</si>
  <si>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</si>
  <si>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</si>
  <si>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</si>
  <si>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</si>
  <si>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</si>
  <si>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</si>
  <si>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</si>
  <si>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</si>
  <si>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</si>
  <si>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</si>
  <si>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</si>
  <si>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</si>
  <si>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</si>
  <si>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</si>
  <si>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</si>
  <si>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</si>
  <si>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</si>
  <si>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</si>
  <si>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</si>
  <si>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</si>
  <si>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</si>
  <si>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</si>
  <si>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</si>
  <si>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</si>
  <si>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</si>
  <si>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</si>
  <si>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</si>
  <si>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</si>
  <si>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</si>
  <si>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</si>
  <si>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</si>
  <si>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</si>
  <si>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</si>
  <si>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</si>
  <si>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</si>
  <si>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</si>
  <si>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</si>
  <si>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</si>
  <si>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</si>
  <si>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</si>
  <si>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</si>
  <si>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</si>
  <si>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</si>
  <si>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</si>
  <si>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</si>
  <si>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</si>
  <si>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</si>
  <si>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</si>
  <si>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</si>
  <si>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</si>
  <si>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</si>
  <si>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</si>
  <si>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</si>
  <si>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</si>
  <si>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</si>
  <si>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</si>
  <si>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</si>
  <si>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</si>
  <si>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</si>
  <si>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</si>
  <si>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</si>
  <si>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</si>
  <si>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</si>
  <si>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</si>
  <si>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</si>
  <si>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</si>
  <si>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</si>
  <si>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</si>
  <si>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</si>
  <si>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</si>
  <si>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</si>
  <si>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</si>
  <si>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</si>
  <si>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</si>
  <si>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</si>
  <si>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</si>
  <si>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</si>
  <si>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</si>
  <si>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</si>
  <si>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</si>
  <si>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</si>
  <si>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</si>
  <si>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</si>
  <si>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</si>
  <si>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</si>
  <si>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</si>
  <si>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</si>
  <si>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</si>
  <si>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</si>
  <si>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</si>
  <si>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</si>
  <si>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</si>
  <si>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</si>
  <si>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</si>
  <si>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</si>
  <si>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</si>
  <si>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</si>
  <si>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</si>
  <si>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</si>
  <si>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</si>
  <si>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</si>
  <si>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</si>
  <si>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</si>
  <si>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</si>
  <si>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</si>
  <si>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</si>
  <si>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</si>
  <si>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</si>
  <si>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</si>
  <si>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</si>
  <si>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</si>
  <si>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</si>
  <si>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</si>
  <si>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</si>
  <si>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</si>
  <si>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</si>
  <si>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</si>
  <si>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</si>
  <si>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</si>
  <si>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</si>
  <si>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</si>
  <si>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</si>
  <si>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</si>
  <si>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</si>
  <si>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</si>
  <si>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</si>
  <si>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</si>
  <si>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</si>
  <si>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</si>
  <si>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</si>
  <si>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</si>
  <si>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</si>
  <si>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</si>
  <si>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</si>
  <si>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</si>
  <si>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</si>
  <si>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</si>
  <si>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</si>
  <si>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</si>
  <si>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</si>
  <si>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</si>
  <si>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</si>
  <si>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</si>
  <si>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</si>
  <si>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</si>
  <si>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</si>
  <si>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</si>
  <si>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</si>
  <si>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</si>
  <si>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</si>
  <si>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</si>
  <si>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</si>
  <si>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</si>
  <si>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</si>
  <si>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</si>
  <si>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</si>
  <si>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</si>
  <si>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</si>
  <si>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</si>
  <si>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</si>
  <si>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</si>
  <si>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</si>
  <si>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</si>
  <si>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</si>
  <si>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</si>
  <si>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</si>
  <si>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</si>
  <si>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</si>
  <si>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</si>
  <si>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</si>
  <si>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</si>
  <si>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</si>
  <si>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</si>
  <si>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</si>
  <si>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</si>
  <si>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</si>
  <si>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</si>
  <si>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</si>
  <si>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</si>
  <si>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</si>
  <si>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</si>
  <si>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</si>
  <si>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</si>
  <si>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</si>
  <si>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</si>
  <si>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</si>
  <si>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</si>
  <si>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</si>
  <si>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</si>
  <si>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</si>
  <si>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</si>
  <si>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</si>
  <si>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</si>
  <si>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</si>
  <si>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</si>
  <si>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</si>
  <si>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</si>
  <si>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</si>
  <si>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</si>
  <si>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</si>
  <si>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</si>
  <si>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</si>
  <si>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</si>
  <si>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</si>
  <si>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</si>
  <si>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</si>
  <si>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</si>
  <si>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</si>
  <si>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</si>
  <si>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</si>
  <si>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</si>
  <si>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</si>
  <si>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</si>
  <si>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</si>
  <si>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</si>
  <si>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</si>
  <si>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</si>
  <si>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</si>
  <si>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</si>
  <si>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</si>
  <si>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</si>
  <si>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</si>
  <si>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</si>
  <si>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</si>
  <si>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</si>
  <si>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</si>
  <si>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</si>
  <si>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</si>
  <si>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</si>
  <si>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</si>
  <si>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</si>
  <si>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</si>
  <si>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</si>
  <si>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</si>
  <si>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</si>
  <si>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</si>
  <si>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</si>
  <si>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</si>
  <si>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</si>
  <si>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</si>
  <si>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</si>
  <si>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</si>
  <si>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</si>
  <si>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</si>
  <si>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</si>
  <si>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</si>
  <si>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</si>
  <si>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</si>
  <si>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</si>
  <si>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</si>
  <si>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</si>
  <si>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</si>
  <si>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</si>
  <si>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</si>
  <si>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</si>
  <si>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</si>
  <si>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</si>
  <si>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</si>
  <si>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</si>
  <si>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</si>
  <si>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</si>
  <si>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</si>
  <si>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</si>
  <si>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</si>
  <si>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</si>
  <si>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</si>
  <si>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</si>
  <si>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</si>
  <si>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</si>
  <si>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</si>
  <si>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</si>
  <si>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</si>
  <si>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</si>
  <si>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</si>
  <si>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</si>
  <si>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</si>
  <si>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</si>
  <si>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</si>
  <si>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</si>
  <si>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</si>
  <si>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</si>
  <si>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</si>
  <si>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</si>
  <si>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</si>
  <si>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</si>
  <si>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</si>
  <si>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</si>
  <si>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</si>
  <si>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</si>
  <si>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</si>
  <si>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</si>
  <si>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</si>
  <si>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</si>
  <si>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</si>
  <si>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</si>
  <si>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</si>
  <si>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</si>
  <si>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</si>
  <si>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</si>
  <si>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</si>
  <si>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</si>
  <si>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</si>
  <si>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</si>
  <si>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</si>
  <si>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</si>
  <si>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</si>
  <si>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</si>
  <si>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</si>
  <si>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</si>
  <si>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</si>
  <si>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</si>
  <si>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</si>
  <si>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</si>
  <si>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</si>
  <si>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</si>
  <si>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</si>
  <si>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</si>
  <si>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</si>
  <si>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</si>
  <si>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</si>
  <si>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</si>
  <si>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</si>
  <si>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</si>
  <si>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</si>
  <si>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</si>
  <si>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</si>
  <si>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</si>
  <si>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</si>
  <si>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</si>
  <si>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</si>
  <si>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</si>
  <si>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</si>
  <si>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</si>
  <si>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</si>
  <si>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</si>
  <si>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</si>
  <si>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</si>
  <si>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</si>
  <si>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</si>
  <si>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</si>
  <si>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</si>
  <si>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</si>
  <si>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</si>
  <si>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</si>
  <si>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</si>
  <si>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</si>
  <si>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</si>
  <si>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</si>
  <si>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</si>
  <si>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</si>
  <si>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</si>
  <si>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</si>
  <si>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</si>
  <si>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</si>
  <si>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</si>
  <si>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</si>
  <si>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</si>
  <si>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</si>
  <si>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</si>
  <si>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</si>
  <si>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</si>
  <si>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</si>
  <si>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</si>
  <si>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</si>
  <si>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</si>
  <si>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</si>
  <si>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</si>
  <si>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</si>
  <si>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</si>
  <si>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</si>
  <si>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</si>
  <si>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</si>
  <si>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</si>
  <si>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</si>
  <si>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</si>
  <si>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</si>
  <si>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</si>
  <si>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</si>
  <si>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</si>
  <si>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</si>
  <si>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</si>
  <si>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</si>
  <si>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</si>
  <si>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</si>
  <si>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</si>
  <si>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</si>
  <si>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</si>
  <si>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</si>
  <si>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</si>
  <si>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</si>
  <si>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</si>
  <si>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</si>
  <si>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</si>
  <si>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</si>
  <si>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</si>
  <si>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</si>
  <si>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</si>
  <si>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</si>
  <si>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</si>
  <si>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</si>
  <si>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</si>
  <si>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</si>
  <si>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</si>
  <si>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</si>
  <si>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</si>
  <si>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</si>
  <si>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</si>
  <si>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</si>
  <si>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</si>
  <si>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</si>
  <si>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</si>
  <si>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</si>
  <si>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</si>
  <si>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</si>
  <si>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</si>
  <si>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</si>
  <si>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</si>
  <si>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</si>
  <si>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</si>
  <si>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</si>
  <si>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</si>
  <si>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</si>
  <si>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</si>
  <si>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</si>
  <si>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</si>
  <si>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</si>
  <si>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</si>
  <si>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</si>
  <si>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</si>
  <si>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</si>
  <si>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</si>
  <si>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</si>
  <si>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</si>
  <si>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</si>
  <si>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</si>
  <si>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</si>
  <si>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</si>
  <si>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</si>
  <si>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</si>
  <si>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</si>
  <si>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</si>
  <si>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</si>
  <si>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</si>
  <si>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</si>
  <si>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</si>
  <si>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</si>
  <si>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</si>
  <si>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</si>
  <si>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</si>
  <si>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</si>
  <si>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</si>
  <si>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</si>
  <si>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</si>
  <si>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</si>
  <si>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</si>
  <si>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</si>
  <si>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</si>
  <si>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</si>
  <si>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</si>
  <si>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</si>
  <si>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</si>
  <si>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</si>
  <si>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</si>
  <si>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</si>
  <si>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</si>
  <si>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</si>
  <si>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</si>
  <si>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</si>
  <si>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</si>
  <si>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</si>
  <si>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</si>
  <si>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</si>
  <si>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</si>
  <si>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</si>
  <si>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</si>
  <si>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</si>
  <si>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</si>
  <si>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</si>
  <si>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</si>
  <si>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</si>
  <si>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</si>
  <si>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</si>
  <si>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</si>
  <si>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</si>
  <si>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</si>
  <si>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</si>
  <si>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</si>
  <si>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</si>
  <si>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</si>
  <si>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</si>
  <si>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</si>
  <si>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</si>
  <si>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</si>
  <si>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</si>
  <si>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</si>
  <si>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</si>
  <si>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</si>
  <si>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</si>
  <si>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</si>
  <si>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</si>
  <si>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</si>
  <si>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</si>
  <si>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</si>
  <si>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</si>
  <si>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</si>
  <si>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</si>
  <si>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</si>
  <si>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</si>
  <si>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</si>
  <si>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</si>
  <si>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</si>
  <si>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</si>
  <si>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</si>
  <si>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</si>
  <si>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</si>
  <si>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</si>
  <si>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</si>
  <si>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</si>
  <si>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</si>
  <si>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</si>
  <si>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</si>
  <si>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</si>
  <si>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</si>
  <si>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</si>
  <si>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</si>
  <si>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</si>
  <si>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</si>
  <si>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</si>
  <si>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</si>
  <si>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</si>
  <si>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</si>
  <si>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</si>
  <si>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</si>
  <si>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</si>
  <si>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</si>
  <si>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</si>
  <si>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</si>
  <si>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</si>
  <si>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</si>
  <si>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</si>
  <si>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</si>
  <si>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</si>
  <si>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</si>
  <si>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</si>
  <si>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</si>
  <si>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</si>
  <si>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</si>
  <si>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</si>
  <si>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</si>
  <si>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</si>
  <si>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</si>
  <si>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</si>
  <si>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</si>
  <si>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</si>
  <si>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</si>
  <si>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</si>
  <si>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</si>
  <si>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</si>
  <si>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</si>
  <si>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</si>
  <si>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</si>
  <si>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</si>
  <si>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</si>
  <si>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</si>
  <si>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</si>
  <si>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</si>
  <si>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</si>
  <si>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</si>
  <si>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</si>
  <si>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</si>
  <si>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</si>
  <si>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</si>
  <si>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</si>
  <si>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</si>
  <si>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</si>
  <si>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</si>
  <si>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</si>
  <si>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</si>
  <si>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</si>
  <si>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</si>
  <si>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</si>
  <si>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</si>
  <si>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</si>
  <si>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</si>
  <si>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</si>
  <si>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</si>
  <si>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</si>
  <si>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</si>
  <si>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</si>
  <si>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</si>
  <si>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</si>
  <si>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</si>
  <si>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</si>
  <si>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</si>
  <si>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</si>
  <si>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</si>
  <si>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</si>
  <si>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</si>
  <si>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</si>
  <si>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</si>
  <si>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</si>
  <si>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</si>
  <si>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</si>
  <si>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</si>
  <si>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</si>
  <si>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</si>
  <si>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</si>
  <si>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</si>
  <si>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</si>
  <si>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</si>
  <si>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</si>
  <si>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</si>
  <si>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</si>
  <si>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</si>
  <si>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</si>
  <si>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</si>
  <si>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</si>
  <si>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</si>
  <si>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</si>
  <si>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</si>
  <si>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</si>
  <si>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</si>
  <si>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</si>
  <si>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</si>
  <si>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</si>
  <si>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</si>
  <si>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</si>
  <si>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</si>
  <si>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</si>
  <si>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</si>
  <si>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</si>
  <si>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</si>
  <si>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</si>
  <si>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</si>
  <si>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</si>
  <si>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</si>
  <si>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</si>
  <si>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</si>
  <si>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</si>
  <si>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</si>
  <si>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</si>
  <si>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</si>
  <si>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</si>
  <si>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</si>
  <si>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</si>
  <si>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</si>
  <si>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</si>
  <si>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</si>
  <si>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</si>
  <si>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</si>
  <si>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</si>
  <si>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</si>
  <si>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</si>
  <si>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</si>
  <si>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</si>
  <si>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</si>
  <si>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</si>
  <si>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</si>
  <si>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</si>
  <si>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</si>
  <si>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</si>
  <si>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</si>
  <si>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</si>
  <si>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</si>
  <si>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</si>
  <si>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</si>
  <si>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</si>
  <si>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</si>
  <si>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</si>
  <si>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</si>
  <si>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</si>
  <si>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</si>
  <si>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</si>
  <si>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</si>
  <si>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</si>
  <si>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</si>
  <si>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</si>
  <si>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</si>
  <si>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</si>
  <si>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</si>
  <si>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</si>
  <si>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</si>
  <si>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</si>
  <si>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</si>
  <si>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</si>
  <si>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</si>
  <si>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</si>
  <si>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</si>
  <si>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</si>
  <si>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</si>
  <si>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</si>
  <si>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</si>
  <si>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</si>
  <si>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</si>
  <si>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</si>
  <si>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</si>
  <si>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</si>
  <si>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</si>
  <si>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</si>
  <si>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</si>
  <si>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</si>
  <si>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</si>
  <si>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</si>
  <si>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</si>
  <si>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</si>
  <si>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</si>
  <si>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</si>
  <si>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</si>
  <si>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</si>
  <si>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</si>
  <si>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</si>
  <si>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</si>
  <si>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</si>
  <si>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</si>
  <si>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</si>
  <si>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</si>
  <si>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</si>
  <si>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</si>
  <si>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</si>
  <si>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</si>
  <si>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</si>
  <si>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</si>
  <si>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</si>
  <si>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</si>
  <si>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</si>
  <si>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</si>
  <si>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</si>
  <si>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</si>
  <si>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</si>
  <si>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</si>
  <si>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</si>
  <si>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</si>
  <si>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</si>
  <si>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</si>
  <si>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</si>
  <si>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</si>
  <si>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</si>
  <si>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</si>
  <si>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</si>
  <si>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</si>
  <si>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</si>
  <si>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</si>
  <si>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</si>
  <si>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</si>
  <si>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</si>
  <si>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</si>
  <si>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</si>
  <si>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</si>
  <si>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</si>
  <si>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</si>
  <si>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</si>
  <si>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</si>
  <si>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</si>
  <si>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</si>
  <si>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</si>
  <si>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</si>
  <si>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</si>
  <si>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</si>
  <si>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</si>
  <si>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</si>
  <si>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</si>
  <si>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</si>
  <si>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</si>
  <si>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</si>
  <si>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</si>
  <si>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</si>
  <si>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</si>
  <si>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</si>
  <si>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</si>
  <si>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</si>
  <si>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</si>
  <si>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</si>
  <si>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</si>
  <si>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</si>
  <si>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</si>
  <si>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</si>
  <si>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</si>
  <si>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</si>
  <si>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</si>
  <si>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</si>
  <si>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</si>
  <si>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</si>
  <si>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</si>
  <si>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</si>
  <si>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</si>
  <si>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</si>
  <si>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</si>
  <si>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</si>
  <si>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</si>
  <si>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</si>
  <si>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</si>
  <si>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</si>
  <si>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</si>
  <si>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</si>
  <si>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</si>
  <si>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</si>
  <si>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</si>
  <si>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</si>
  <si>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</si>
  <si>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</si>
  <si>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</si>
  <si>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</si>
  <si>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</si>
  <si>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</si>
  <si>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</si>
  <si>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</si>
  <si>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</si>
  <si>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</si>
  <si>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</si>
  <si>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</si>
  <si>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</si>
  <si>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</si>
  <si>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</si>
  <si>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</si>
  <si>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</si>
  <si>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</si>
  <si>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</si>
  <si>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</si>
  <si>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</si>
  <si>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</si>
  <si>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</si>
  <si>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</si>
  <si>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</si>
  <si>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</si>
  <si>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</si>
  <si>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</si>
  <si>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</si>
  <si>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</si>
  <si>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</si>
  <si>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</si>
  <si>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</si>
  <si>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</si>
  <si>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</si>
  <si>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</si>
  <si>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</si>
  <si>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</si>
  <si>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</si>
  <si>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</si>
  <si>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</si>
  <si>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</si>
  <si>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</si>
  <si>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</si>
  <si>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</si>
  <si>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</si>
  <si>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</si>
  <si>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</si>
  <si>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</si>
  <si>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</si>
  <si>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</si>
  <si>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</si>
  <si>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</si>
  <si>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</si>
  <si>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</si>
  <si>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</si>
  <si>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</si>
  <si>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</si>
  <si>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</si>
  <si>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</si>
  <si>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</si>
  <si>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</si>
  <si>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</si>
  <si>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</si>
  <si>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</si>
  <si>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</si>
  <si>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</si>
  <si>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</si>
  <si>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</si>
  <si>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</si>
  <si>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</si>
  <si>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</si>
  <si>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</si>
  <si>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</si>
  <si>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</si>
  <si>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</si>
  <si>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</si>
  <si>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</si>
  <si>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</si>
  <si>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</si>
  <si>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</si>
  <si>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</si>
  <si>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</si>
  <si>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</si>
  <si>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</si>
  <si>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</si>
  <si>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</si>
  <si>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</si>
  <si>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</si>
  <si>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</si>
  <si>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</si>
  <si>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</si>
  <si>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</si>
  <si>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</si>
  <si>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</si>
  <si>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</si>
  <si>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</si>
  <si>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</si>
  <si>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</si>
  <si>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</si>
  <si>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</si>
  <si>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</si>
  <si>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</si>
  <si>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</si>
  <si>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</si>
  <si>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</si>
  <si>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</si>
  <si>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</si>
  <si>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</si>
  <si>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</si>
  <si>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</si>
  <si>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</si>
  <si>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</si>
  <si>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</si>
  <si>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</si>
  <si>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</si>
  <si>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</si>
  <si>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</si>
  <si>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</si>
  <si>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</si>
  <si>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</si>
  <si>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</si>
  <si>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</si>
  <si>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</si>
  <si>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</si>
  <si>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</si>
  <si>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</si>
  <si>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</si>
  <si>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</si>
  <si>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</si>
  <si>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</si>
  <si>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</si>
  <si>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</si>
  <si>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</si>
  <si>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</si>
  <si>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</si>
  <si>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</si>
  <si>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</si>
  <si>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</si>
  <si>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</si>
  <si>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</si>
  <si>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</si>
  <si>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</si>
  <si>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</si>
  <si>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</si>
  <si>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</si>
  <si>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</si>
  <si>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</si>
  <si>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</si>
  <si>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</si>
  <si>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</si>
  <si>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</si>
  <si>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</si>
  <si>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</si>
  <si>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</si>
  <si>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</si>
  <si>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</si>
  <si>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</si>
  <si>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</si>
  <si>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</si>
  <si>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</si>
  <si>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</si>
  <si>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</si>
  <si>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</si>
  <si>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</si>
  <si>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</si>
  <si>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</si>
  <si>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</si>
  <si>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</si>
  <si>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</si>
  <si>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</si>
  <si>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</si>
  <si>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</si>
  <si>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</si>
  <si>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</si>
  <si>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</si>
  <si>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</si>
  <si>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</si>
  <si>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</si>
  <si>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</si>
  <si>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</si>
  <si>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</si>
  <si>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</si>
  <si>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</si>
  <si>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</si>
  <si>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</si>
  <si>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</si>
  <si>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</si>
  <si>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</si>
  <si>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</si>
  <si>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</si>
  <si>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</si>
  <si>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</si>
  <si>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</si>
  <si>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</si>
  <si>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</si>
  <si>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</si>
  <si>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</si>
  <si>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</si>
  <si>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</si>
  <si>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</si>
  <si>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</si>
  <si>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</si>
  <si>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</si>
  <si>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</si>
  <si>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</si>
  <si>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</si>
  <si>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</si>
  <si>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</si>
  <si>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</si>
  <si>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</si>
  <si>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</si>
  <si>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</si>
  <si>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</si>
  <si>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</si>
  <si>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</si>
  <si>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</si>
  <si>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</si>
  <si>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</si>
  <si>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</si>
  <si>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</si>
  <si>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</si>
  <si>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</si>
  <si>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</si>
  <si>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</si>
  <si>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</si>
  <si>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</si>
  <si>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</si>
  <si>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</si>
  <si>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</si>
  <si>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</si>
  <si>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</si>
  <si>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</si>
  <si>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</si>
  <si>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</si>
  <si>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</si>
  <si>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</si>
  <si>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</si>
  <si>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</si>
  <si>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</si>
  <si>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</si>
  <si>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</si>
  <si>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</si>
  <si>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</si>
  <si>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</si>
  <si>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</si>
  <si>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</si>
  <si>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</si>
  <si>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</si>
  <si>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</si>
  <si>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</si>
  <si>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</si>
  <si>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</si>
  <si>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</si>
  <si>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</si>
  <si>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</si>
  <si>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</si>
  <si>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</si>
  <si>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</si>
  <si>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</si>
  <si>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</si>
  <si>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</si>
  <si>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</si>
  <si>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</si>
  <si>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</si>
  <si>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</si>
  <si>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</si>
  <si>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</si>
  <si>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</si>
  <si>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</si>
  <si>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</si>
  <si>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</si>
  <si>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</si>
  <si>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</si>
  <si>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</si>
  <si>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</si>
  <si>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</si>
  <si>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</si>
  <si>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</si>
  <si>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</si>
  <si>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</si>
  <si>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</si>
  <si>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</si>
  <si>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</si>
  <si>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</si>
  <si>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</si>
  <si>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</si>
  <si>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</si>
  <si>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</si>
  <si>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</si>
  <si>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</si>
  <si>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</si>
  <si>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</si>
  <si>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</si>
  <si>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</si>
  <si>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</si>
  <si>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</si>
  <si>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</si>
  <si>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</si>
  <si>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</si>
  <si>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</si>
  <si>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</si>
  <si>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</si>
  <si>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</si>
  <si>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</si>
  <si>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</si>
  <si>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</si>
  <si>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</si>
  <si>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</si>
  <si>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</si>
  <si>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</si>
  <si>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</si>
  <si>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</si>
  <si>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</si>
  <si>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</si>
  <si>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</si>
  <si>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</si>
  <si>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</si>
  <si>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</si>
  <si>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</si>
  <si>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</si>
  <si>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</si>
  <si>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</si>
  <si>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</si>
  <si>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</si>
  <si>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</si>
  <si>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</si>
  <si>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</si>
  <si>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</si>
  <si>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</si>
  <si>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</si>
  <si>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</si>
  <si>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</si>
  <si>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</si>
  <si>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</si>
  <si>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</si>
  <si>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</si>
  <si>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</si>
  <si>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</si>
  <si>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</si>
  <si>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</si>
  <si>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</si>
  <si>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</si>
  <si>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</si>
  <si>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</si>
  <si>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</si>
  <si>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</si>
  <si>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</si>
  <si>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</si>
  <si>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</si>
  <si>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</si>
  <si>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</si>
  <si>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</si>
  <si>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</si>
  <si>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</si>
  <si>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</si>
  <si>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</si>
  <si>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</si>
  <si>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</si>
  <si>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</si>
  <si>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</si>
  <si>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</si>
  <si>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</si>
  <si>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</si>
  <si>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</si>
  <si>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</si>
  <si>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</si>
  <si>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</si>
  <si>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</si>
  <si>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</si>
  <si>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</si>
  <si>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</si>
  <si>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</si>
  <si>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</si>
  <si>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</si>
  <si>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</si>
  <si>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</si>
  <si>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</si>
  <si>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</si>
  <si>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</si>
  <si>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</si>
  <si>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</si>
  <si>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</si>
  <si>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</si>
  <si>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</si>
  <si>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</si>
  <si>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</si>
  <si>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</si>
  <si>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</si>
  <si>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</si>
  <si>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</si>
  <si>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</si>
  <si>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</si>
  <si>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</si>
  <si>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</si>
  <si>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</si>
  <si>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</si>
  <si>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</si>
  <si>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</si>
  <si>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</si>
  <si>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</si>
  <si>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</si>
  <si>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</si>
  <si>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</si>
  <si>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</si>
  <si>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</si>
  <si>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</si>
  <si>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</si>
  <si>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</si>
  <si>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</si>
  <si>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</si>
  <si>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</si>
  <si>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</si>
  <si>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</si>
  <si>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</si>
  <si>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</si>
  <si>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</si>
  <si>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</si>
  <si>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</si>
  <si>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</si>
  <si>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</si>
  <si>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</si>
  <si>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</si>
  <si>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</si>
  <si>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</si>
  <si>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</si>
  <si>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</si>
  <si>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</si>
  <si>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</si>
  <si>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</si>
  <si>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</si>
  <si>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</si>
  <si>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</si>
  <si>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</si>
  <si>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</si>
  <si>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</si>
  <si>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</si>
  <si>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</si>
  <si>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</si>
  <si>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</si>
  <si>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</si>
  <si>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</si>
  <si>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</si>
  <si>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</si>
  <si>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</si>
  <si>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</si>
  <si>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</si>
  <si>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</si>
  <si>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</si>
  <si>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</si>
  <si>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</si>
  <si>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</si>
  <si>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</si>
  <si>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</si>
  <si>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</si>
  <si>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</si>
  <si>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</si>
  <si>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</si>
  <si>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</si>
  <si>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</si>
  <si>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</si>
  <si>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</si>
  <si>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</si>
  <si>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</si>
  <si>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</si>
  <si>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</si>
  <si>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</si>
  <si>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</si>
  <si>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</si>
  <si>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</si>
  <si>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</si>
  <si>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</si>
  <si>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</si>
  <si>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</si>
  <si>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</si>
  <si>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</si>
  <si>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</si>
  <si>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</si>
  <si>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</si>
  <si>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</si>
  <si>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</si>
  <si>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</si>
  <si>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</si>
  <si>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</si>
  <si>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</si>
  <si>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</si>
  <si>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</si>
  <si>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</si>
  <si>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</si>
  <si>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</si>
  <si>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</si>
  <si>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</si>
  <si>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</si>
  <si>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</si>
  <si>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</si>
  <si>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</si>
  <si>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</si>
  <si>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</si>
  <si>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</si>
  <si>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</si>
  <si>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</si>
  <si>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</si>
  <si>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</si>
  <si>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</si>
  <si>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</si>
  <si>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</si>
  <si>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</si>
  <si>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</si>
  <si>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</si>
  <si>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</si>
  <si>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</si>
  <si>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</si>
  <si>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</si>
  <si>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</si>
  <si>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</si>
  <si>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</si>
  <si>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</si>
  <si>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</si>
  <si>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</si>
  <si>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</si>
  <si>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</si>
  <si>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</si>
  <si>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</si>
  <si>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</si>
  <si>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</si>
  <si>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</si>
  <si>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</si>
  <si>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</si>
  <si>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</si>
  <si>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</si>
  <si>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</si>
  <si>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</si>
  <si>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</si>
  <si>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</si>
  <si>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</si>
  <si>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</si>
  <si>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</si>
  <si>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</si>
  <si>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</si>
  <si>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</si>
  <si>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</si>
  <si>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</si>
  <si>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</si>
  <si>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</si>
  <si>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</si>
  <si>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</si>
  <si>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</si>
  <si>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</si>
  <si>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</si>
  <si>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</si>
  <si>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</si>
  <si>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</si>
  <si>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</si>
  <si>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</si>
  <si>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</si>
  <si>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</si>
  <si>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</si>
  <si>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</si>
  <si>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</si>
  <si>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</si>
  <si>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</si>
  <si>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</si>
  <si>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Hollis Brookline Cooperative School District</t>
  </si>
  <si>
    <t>Increase to fund balance for Covid Receivable of $9189.47, and decrease of $4519.88 for SAU owing COOP for Galaxy</t>
  </si>
  <si>
    <t xml:space="preserve"> phone bill for net change in fund balance of $4669.59, per FY21 Audit.</t>
  </si>
  <si>
    <t>7/2020</t>
  </si>
  <si>
    <t>8/2028</t>
  </si>
  <si>
    <t>Refinanced bond with TD Bank at lower interest rate.</t>
  </si>
  <si>
    <t>8/2004</t>
  </si>
  <si>
    <t>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</si>
</sst>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1"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260</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2707108.44+300+300+2500</f>
        <v>2710208.44</v>
      </c>
      <c r="G9" s="18">
        <f>74+9778.91+12071.04</f>
        <v>21923.95</v>
      </c>
      <c r="H9" s="18">
        <v>0.01</v>
      </c>
      <c r="I9" s="18">
        <v>32148</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18990.49+23872.21</f>
        <v>42862.7</v>
      </c>
      <c r="G13" s="18">
        <v>70103.72</v>
      </c>
      <c r="H13" s="18">
        <f>178512.94+456.88</f>
        <v>178969.82</v>
      </c>
      <c r="I13" s="18"/>
      <c r="J13" s="67">
        <f>SUM(I443)</f>
        <v>1021875.97</v>
      </c>
      <c r="K13" s="24" t="s">
        <v>288</v>
      </c>
      <c r="L13" s="24" t="s">
        <v>288</v>
      </c>
      <c r="M13" s="8"/>
      <c r="N13" s="264"/>
    </row>
    <row r="14" spans="1:14" s="3" customFormat="1" ht="12.2" customHeight="1" x14ac:dyDescent="0.15">
      <c r="A14" s="1" t="s">
        <v>565</v>
      </c>
      <c r="B14" s="2" t="s">
        <v>289</v>
      </c>
      <c r="C14" s="6">
        <v>6</v>
      </c>
      <c r="D14" s="2" t="s">
        <v>428</v>
      </c>
      <c r="E14" s="6">
        <v>150</v>
      </c>
      <c r="F14" s="18">
        <f>985.98-124.58</f>
        <v>861.4</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9596.69</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50288.89</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2804221.43</v>
      </c>
      <c r="G19" s="41">
        <f>SUM(G9:G18)</f>
        <v>101624.36</v>
      </c>
      <c r="H19" s="41">
        <f>SUM(H9:H18)</f>
        <v>178969.83000000002</v>
      </c>
      <c r="I19" s="41">
        <f>SUM(I9:I18)</f>
        <v>32148</v>
      </c>
      <c r="J19" s="41">
        <f>SUM(J9:J18)</f>
        <v>1021875.97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-385506.2</v>
      </c>
      <c r="G22" s="18">
        <v>-125346.53</v>
      </c>
      <c r="H22" s="18">
        <v>-281423.34000000003</v>
      </c>
      <c r="I22" s="18"/>
      <c r="J22" s="67">
        <f>SUM(I449)</f>
        <v>618763.13</v>
      </c>
      <c r="K22" s="24" t="s">
        <v>288</v>
      </c>
      <c r="L22" s="24" t="s">
        <v>288</v>
      </c>
      <c r="M22" s="8"/>
      <c r="N22" s="264"/>
    </row>
    <row r="23" spans="1:14" s="3" customFormat="1" ht="12.2" customHeight="1" x14ac:dyDescent="0.15">
      <c r="A23" s="1" t="s">
        <v>607</v>
      </c>
      <c r="B23" s="2" t="s">
        <v>289</v>
      </c>
      <c r="C23" s="6">
        <v>13</v>
      </c>
      <c r="D23" s="2" t="s">
        <v>429</v>
      </c>
      <c r="E23" s="6">
        <v>410</v>
      </c>
      <c r="F23" s="18">
        <v>12520.25</v>
      </c>
      <c r="G23" s="18"/>
      <c r="H23" s="18">
        <f>5000+173512.94+2663.07</f>
        <v>181176.01</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178101.14</v>
      </c>
      <c r="G24" s="18">
        <v>255.99</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57729.760000000002</v>
      </c>
      <c r="G28" s="18">
        <v>1008.79</v>
      </c>
      <c r="H28" s="18">
        <v>272.10000000000002</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4489.17+4565.88</f>
        <v>9055.0499999999993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36444.47</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-128099.99999999999</v>
      </c>
      <c r="G32" s="41">
        <f>SUM(G22:G31)</f>
        <v>-87637.28</v>
      </c>
      <c r="H32" s="41">
        <f>SUM(H22:H31)</f>
        <v>-99975.23000000001</v>
      </c>
      <c r="I32" s="41">
        <f>SUM(I22:I31)</f>
        <v>0</v>
      </c>
      <c r="J32" s="41">
        <f>SUM(J22:J31)</f>
        <v>618763.13</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9596.69</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50288.89</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32148</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v>179664.95</v>
      </c>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165000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626393.06999999995</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180760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278945.06</v>
      </c>
      <c r="I48" s="18"/>
      <c r="J48" s="13">
        <f>SUM(I460)</f>
        <v>403112.83999999997</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2090639.47-180760</f>
        <v>1909879.47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2932321.4299999997</v>
      </c>
      <c r="G51" s="41">
        <f>SUM(G35:G50)</f>
        <v>189261.64</v>
      </c>
      <c r="H51" s="41">
        <f>SUM(H35:H50)</f>
        <v>278945.06</v>
      </c>
      <c r="I51" s="41">
        <f>SUM(I35:I50)</f>
        <v>32148</v>
      </c>
      <c r="J51" s="41">
        <f>SUM(J35:J50)</f>
        <v>403112.83999999997</v>
      </c>
      <c r="K51" s="45" t="s">
        <v>288</v>
      </c>
      <c r="L51" s="45" t="s">
        <v>288</v>
      </c>
      <c r="N51" s="262"/>
    </row>
    <row r="52" spans="1:14" s="3" customFormat="1" ht="12.2" customHeight="1" thickTop="1" x14ac:dyDescent="0.15">
      <c r="A52" s="38" t="s">
        <v>455</v>
      </c>
      <c r="B52" s="39" t="s">
        <v>289</v>
      </c>
      <c r="C52" s="6">
        <v>37</v>
      </c>
      <c r="D52" s="39" t="s">
        <v>653</v>
      </c>
      <c r="E52" s="39"/>
      <c r="F52" s="41">
        <f>F51+F32</f>
        <v>2804221.4299999997</v>
      </c>
      <c r="G52" s="41">
        <f>G51+G32</f>
        <v>101624.36000000002</v>
      </c>
      <c r="H52" s="41">
        <f>H51+H32</f>
        <v>178969.83</v>
      </c>
      <c r="I52" s="41">
        <f>I51+I32</f>
        <v>32148</v>
      </c>
      <c r="J52" s="41">
        <f>J51+J32</f>
        <v>1021875.97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6915760+9111269</f>
        <v>16027029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16027029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17846.4+22545.04</f>
        <v>40391.440000000002</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40391.440000000002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4334.0200000000004</v>
      </c>
      <c r="G96" s="18">
        <v>6.66</v>
      </c>
      <c r="H96" s="18"/>
      <c r="I96" s="18"/>
      <c r="J96" s="18">
        <v>369.41</v>
      </c>
      <c r="K96" s="24" t="s">
        <v>288</v>
      </c>
      <c r="L96" s="24" t="s">
        <v>288</v>
      </c>
      <c r="M96" s="8"/>
      <c r="N96" s="264"/>
    </row>
    <row r="97" spans="1:14" s="3" customFormat="1" ht="12.2" customHeight="1" x14ac:dyDescent="0.15">
      <c r="A97" s="1" t="s">
        <v>503</v>
      </c>
      <c r="B97" s="2" t="s">
        <v>315</v>
      </c>
      <c r="C97" s="6">
        <v>12</v>
      </c>
      <c r="D97" s="2" t="s">
        <v>430</v>
      </c>
      <c r="E97" s="6">
        <v>1600</v>
      </c>
      <c r="F97" s="24" t="s">
        <v>288</v>
      </c>
      <c r="G97" s="18">
        <f>28124.31-1105.71+2468.15+5512.68+539.32+1002.88</f>
        <v>36541.630000000005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35806.410000000003</v>
      </c>
      <c r="G98" s="24" t="s">
        <v>288</v>
      </c>
      <c r="H98" s="18">
        <v>522615.43</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523.87</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7704.1+15000+88760.7+47926.62</f>
        <v>159391.41999999998</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199531.84999999998</v>
      </c>
      <c r="G111" s="41">
        <f>SUM(G96:G110)</f>
        <v>36548.290000000008</v>
      </c>
      <c r="H111" s="41">
        <f>SUM(H96:H110)</f>
        <v>523139.3</v>
      </c>
      <c r="I111" s="41">
        <f>SUM(I96:I110)</f>
        <v>0</v>
      </c>
      <c r="J111" s="41">
        <f>SUM(J96:J110)</f>
        <v>369.41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16266952.289999999</v>
      </c>
      <c r="G112" s="41">
        <f>G60+G111</f>
        <v>36548.290000000008</v>
      </c>
      <c r="H112" s="41">
        <f>H60+H79+H94+H111</f>
        <v>523139.3</v>
      </c>
      <c r="I112" s="41">
        <f>I60+I111</f>
        <v>0</v>
      </c>
      <c r="J112" s="41">
        <f>J60+J111</f>
        <v>369.41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3941647.15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f>657877+1391050</f>
        <v>2048927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5990574.1500000004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199361.95</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476185.45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2818.38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4281.1499999999996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71283.520000000004</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678365.78</v>
      </c>
      <c r="G136" s="41">
        <f>SUM(G123:G135)</f>
        <v>4281.1499999999996</v>
      </c>
      <c r="H136" s="41">
        <f>SUM(H123:H135)</f>
        <v>71283.520000000004</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6668939.9300000006</v>
      </c>
      <c r="G140" s="41">
        <f>G121+SUM(G136:G137)</f>
        <v>4281.1499999999996</v>
      </c>
      <c r="H140" s="41">
        <f>H121+SUM(H136:H139)</f>
        <v>71283.520000000004</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v>26377.88</v>
      </c>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26377.88</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26828.23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95235.56+170260.32</f>
        <v>265495.88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268964.46000000002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107059.02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310538.90000000002</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20077.89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107059.02</v>
      </c>
      <c r="G163" s="41">
        <f>SUM(G150:G162)</f>
        <v>265495.88</v>
      </c>
      <c r="H163" s="41">
        <f>SUM(H150:H162)</f>
        <v>626409.4800000001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107059.02</v>
      </c>
      <c r="G170" s="41">
        <f>G147+G163+SUM(G164:G169)</f>
        <v>291873.76</v>
      </c>
      <c r="H170" s="41">
        <f>H147+H163+SUM(H164:H169)</f>
        <v>626409.4800000001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265390.39</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265390.39</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v>4599.32</v>
      </c>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4599.32</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4599.32</v>
      </c>
      <c r="G193" s="41">
        <f>G184+SUM(G189:G192)</f>
        <v>0</v>
      </c>
      <c r="H193" s="41">
        <f>+H184+SUM(H189:H192)</f>
        <v>0</v>
      </c>
      <c r="I193" s="41">
        <f>I178+I184+SUM(I189:I192)</f>
        <v>0</v>
      </c>
      <c r="J193" s="41">
        <f>J184</f>
        <v>265390.39</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23047550.559999999</v>
      </c>
      <c r="G194" s="47">
        <f>G112+G140+G170+G193</f>
        <v>332703.2</v>
      </c>
      <c r="H194" s="47">
        <f>H112+H140+H170+H193</f>
        <v>1220832.3</v>
      </c>
      <c r="I194" s="47">
        <f>I112+I140+I170+I193</f>
        <v>0</v>
      </c>
      <c r="J194" s="47">
        <f>J112+J140+J193</f>
        <v>265759.8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4"/>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4"/>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4"/>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1977668.67+1243.2+19146.56+24865.4</f>
        <v>2022923.8299999998</v>
      </c>
      <c r="G216" s="18">
        <v>886181.98</v>
      </c>
      <c r="H216" s="18">
        <v>904.47</v>
      </c>
      <c r="I216" s="18">
        <v>55713.23</v>
      </c>
      <c r="J216" s="18">
        <f>6593.21+5970.46+868.46</f>
        <v>13432.130000000001</v>
      </c>
      <c r="K216" s="18">
        <v>1364.5</v>
      </c>
      <c r="L216" s="19">
        <f>SUM(F216:K216)</f>
        <v>2980520.1399999997</v>
      </c>
      <c r="M216" s="8"/>
      <c r="N216" s="264"/>
    </row>
    <row r="217" spans="1:14" s="3" customFormat="1" ht="12.2" customHeight="1" x14ac:dyDescent="0.15">
      <c r="A217" s="1" t="s">
        <v>439</v>
      </c>
      <c r="B217" s="2" t="s">
        <v>346</v>
      </c>
      <c r="C217" s="2" t="s">
        <v>291</v>
      </c>
      <c r="D217" s="2" t="s">
        <v>431</v>
      </c>
      <c r="E217" s="6">
        <v>1200</v>
      </c>
      <c r="F217" s="18">
        <f>657733.88+27242.88+1600+1880.95+4440.77+2678.23</f>
        <v>695576.71</v>
      </c>
      <c r="G217" s="18">
        <v>304711.2</v>
      </c>
      <c r="H217" s="18">
        <f>182467.38+3465.28</f>
        <v>185932.66</v>
      </c>
      <c r="I217" s="18">
        <v>24312.28</v>
      </c>
      <c r="J217" s="18">
        <v>2100.81</v>
      </c>
      <c r="K217" s="18">
        <v>780</v>
      </c>
      <c r="L217" s="19">
        <f>SUM(F217:K217)</f>
        <v>1213413.6599999999</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f>64175+26592</f>
        <v>90767</v>
      </c>
      <c r="G219" s="18">
        <v>39762.29</v>
      </c>
      <c r="H219" s="18">
        <f>350+12602.72</f>
        <v>12952.72</v>
      </c>
      <c r="I219" s="18">
        <v>1122</v>
      </c>
      <c r="J219" s="18">
        <f>5187.23+3921.16</f>
        <v>9108.39</v>
      </c>
      <c r="K219" s="18">
        <v>0</v>
      </c>
      <c r="L219" s="19">
        <f>SUM(F219:K219)</f>
        <v>153712.40000000002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297938.24+11174.28+10517.48+10514.22</f>
        <v>330144.21999999997</v>
      </c>
      <c r="G221" s="18">
        <v>144626.23000000001</v>
      </c>
      <c r="H221" s="18">
        <f>21482.8+16393.17+3532.76</f>
        <v>41408.730000000003</v>
      </c>
      <c r="I221" s="18">
        <v>2235.5300000000002</v>
      </c>
      <c r="J221" s="18">
        <v>0</v>
      </c>
      <c r="K221" s="18">
        <v>0</v>
      </c>
      <c r="L221" s="19">
        <f t="shared" ref="L221:L227" si="2">SUM(F221:K221)</f>
        <v>518414.70999999996</v>
      </c>
      <c r="M221" s="8"/>
      <c r="N221" s="264"/>
    </row>
    <row r="222" spans="1:14" s="3" customFormat="1" ht="12.2" customHeight="1" x14ac:dyDescent="0.15">
      <c r="A222" s="1" t="s">
        <v>443</v>
      </c>
      <c r="B222" s="2" t="s">
        <v>346</v>
      </c>
      <c r="C222" s="2" t="s">
        <v>295</v>
      </c>
      <c r="D222" s="2" t="s">
        <v>431</v>
      </c>
      <c r="E222" s="6">
        <v>2200</v>
      </c>
      <c r="F222" s="18">
        <f>108308.01+12480+608-188.48</f>
        <v>121207.53</v>
      </c>
      <c r="G222" s="18">
        <v>53097.37</v>
      </c>
      <c r="H222" s="18">
        <v>240.86</v>
      </c>
      <c r="I222" s="18">
        <f>12103.32+405.05</f>
        <v>12508.369999999999</v>
      </c>
      <c r="J222" s="18">
        <v>41176.699999999997</v>
      </c>
      <c r="K222" s="18">
        <v>0</v>
      </c>
      <c r="L222" s="19">
        <f t="shared" si="2"/>
        <v>228230.82999999996</v>
      </c>
      <c r="M222" s="8"/>
      <c r="N222" s="264"/>
    </row>
    <row r="223" spans="1:14" s="3" customFormat="1" ht="12.2" customHeight="1" x14ac:dyDescent="0.15">
      <c r="A223" s="1" t="s">
        <v>444</v>
      </c>
      <c r="B223" s="2" t="s">
        <v>346</v>
      </c>
      <c r="C223" s="2" t="s">
        <v>296</v>
      </c>
      <c r="D223" s="2" t="s">
        <v>431</v>
      </c>
      <c r="E223" s="6">
        <v>2300</v>
      </c>
      <c r="F223" s="18">
        <f>1056+320</f>
        <v>1376</v>
      </c>
      <c r="G223" s="18">
        <v>602.78</v>
      </c>
      <c r="H223" s="18">
        <f>420.8+696.52+4540.1+913.6+3175.2+3840+9970.9+291281.63+39.81</f>
        <v>314878.56</v>
      </c>
      <c r="I223" s="18">
        <v>252.79</v>
      </c>
      <c r="J223" s="18">
        <v>0</v>
      </c>
      <c r="K223" s="18">
        <v>1811.88</v>
      </c>
      <c r="L223" s="19">
        <f t="shared" si="2"/>
        <v>318922.01</v>
      </c>
      <c r="M223" s="8"/>
      <c r="N223" s="264"/>
    </row>
    <row r="224" spans="1:14" s="3" customFormat="1" ht="12.2" customHeight="1" x14ac:dyDescent="0.15">
      <c r="A224" s="1" t="s">
        <v>445</v>
      </c>
      <c r="B224" s="2" t="s">
        <v>346</v>
      </c>
      <c r="C224" s="2" t="s">
        <v>297</v>
      </c>
      <c r="D224" s="2" t="s">
        <v>431</v>
      </c>
      <c r="E224" s="6">
        <v>2400</v>
      </c>
      <c r="F224" s="18">
        <f>285893.15+115.2</f>
        <v>286008.35000000003</v>
      </c>
      <c r="G224" s="18">
        <v>125291.64</v>
      </c>
      <c r="H224" s="18">
        <f>29525.45+799.88+464.8+10754.22</f>
        <v>41544.35</v>
      </c>
      <c r="I224" s="18">
        <f>44837.16+110+3199.95+1736.8</f>
        <v>49883.91</v>
      </c>
      <c r="J224" s="18">
        <v>0</v>
      </c>
      <c r="K224" s="18">
        <f>465+36.27</f>
        <v>501.27</v>
      </c>
      <c r="L224" s="19">
        <f t="shared" si="2"/>
        <v>503229.52</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39.869999999999997</v>
      </c>
      <c r="L225" s="19">
        <f t="shared" si="2"/>
        <v>39.869999999999997</v>
      </c>
      <c r="M225" s="8"/>
      <c r="N225" s="264"/>
    </row>
    <row r="226" spans="1:14" s="3" customFormat="1" ht="12.2" customHeight="1" x14ac:dyDescent="0.15">
      <c r="A226" s="1" t="s">
        <v>447</v>
      </c>
      <c r="B226" s="2" t="s">
        <v>346</v>
      </c>
      <c r="C226" s="2" t="s">
        <v>299</v>
      </c>
      <c r="D226" s="2" t="s">
        <v>431</v>
      </c>
      <c r="E226" s="6">
        <v>2600</v>
      </c>
      <c r="F226" s="18">
        <f>170351.97</f>
        <v>170351.97</v>
      </c>
      <c r="G226" s="18">
        <v>74626.070000000007</v>
      </c>
      <c r="H226" s="18">
        <f>110568.64+510.88+19741.12</f>
        <v>130820.64</v>
      </c>
      <c r="I226" s="18">
        <f>124815.65+55.18+19545.47+4530.18</f>
        <v>148946.47999999998</v>
      </c>
      <c r="J226" s="18">
        <v>4174.07</v>
      </c>
      <c r="K226" s="18">
        <f>17752.64+76527.96</f>
        <v>94280.6</v>
      </c>
      <c r="L226" s="19">
        <f t="shared" si="2"/>
        <v>623199.82999999984</v>
      </c>
      <c r="M226" s="8"/>
      <c r="N226" s="264"/>
    </row>
    <row r="227" spans="1:14" s="3" customFormat="1" ht="12.2" customHeight="1" x14ac:dyDescent="0.15">
      <c r="A227" s="1" t="s">
        <v>448</v>
      </c>
      <c r="B227" s="2" t="s">
        <v>346</v>
      </c>
      <c r="C227" s="2" t="s">
        <v>300</v>
      </c>
      <c r="D227" s="2" t="s">
        <v>431</v>
      </c>
      <c r="E227" s="6">
        <v>2700</v>
      </c>
      <c r="F227" s="18">
        <v>0</v>
      </c>
      <c r="G227" s="18">
        <v>0</v>
      </c>
      <c r="H227" s="18">
        <f>331422.7+43.2</f>
        <v>331465.90000000002</v>
      </c>
      <c r="I227" s="18">
        <f>14595.64+36.48</f>
        <v>14632.119999999999</v>
      </c>
      <c r="J227" s="18">
        <v>0</v>
      </c>
      <c r="K227" s="18">
        <v>0</v>
      </c>
      <c r="L227" s="19">
        <f t="shared" si="2"/>
        <v>346098.02</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3718355.61</v>
      </c>
      <c r="G230" s="41">
        <f>SUM(G216:G229)</f>
        <v>1628899.56</v>
      </c>
      <c r="H230" s="41">
        <f>SUM(H216:H229)</f>
        <v>1060148.8900000001</v>
      </c>
      <c r="I230" s="41">
        <f>SUM(I216:I229)</f>
        <v>309606.70999999996</v>
      </c>
      <c r="J230" s="41">
        <f>SUM(J216:J229)</f>
        <v>69992.100000000006</v>
      </c>
      <c r="K230" s="41">
        <f t="shared" si="3"/>
        <v>98778.12000000001</v>
      </c>
      <c r="L230" s="41">
        <f t="shared" si="3"/>
        <v>6885780.9900000002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3642124.96+2641.8+40686.44+52838.96</f>
        <v>3738292.1599999997</v>
      </c>
      <c r="G234" s="18">
        <v>1785446.77</v>
      </c>
      <c r="H234" s="18">
        <v>3134.94</v>
      </c>
      <c r="I234" s="18">
        <v>104816.26</v>
      </c>
      <c r="J234" s="18">
        <f>13581.18+6703+12687.22+1845.47</f>
        <v>34816.870000000003</v>
      </c>
      <c r="K234" s="18">
        <v>3830.98</v>
      </c>
      <c r="L234" s="19">
        <f>SUM(F234:K234)</f>
        <v>5670337.9800000004</v>
      </c>
      <c r="M234" s="8"/>
      <c r="N234" s="264"/>
    </row>
    <row r="235" spans="1:14" s="3" customFormat="1" ht="12.2" customHeight="1" x14ac:dyDescent="0.15">
      <c r="A235" s="1" t="s">
        <v>439</v>
      </c>
      <c r="B235" s="2" t="s">
        <v>350</v>
      </c>
      <c r="C235" s="2" t="s">
        <v>291</v>
      </c>
      <c r="D235" s="2" t="s">
        <v>431</v>
      </c>
      <c r="E235" s="6">
        <v>1200</v>
      </c>
      <c r="F235" s="18">
        <f>1183461.93+57891.12+3400+3997.03+9436.63+5691.25</f>
        <v>1263877.96</v>
      </c>
      <c r="G235" s="18">
        <v>603641.11</v>
      </c>
      <c r="H235" s="18">
        <f>961886.96+132+7363.73</f>
        <v>969382.69</v>
      </c>
      <c r="I235" s="18">
        <f>26624.4+50</f>
        <v>26674.400000000001</v>
      </c>
      <c r="J235" s="18">
        <v>8743.91</v>
      </c>
      <c r="K235" s="18">
        <v>780</v>
      </c>
      <c r="L235" s="19">
        <f>SUM(F235:K235)</f>
        <v>2873100.07</v>
      </c>
      <c r="M235" s="8"/>
      <c r="N235" s="264"/>
    </row>
    <row r="236" spans="1:14" s="3" customFormat="1" ht="12.2" customHeight="1" x14ac:dyDescent="0.15">
      <c r="A236" s="1" t="s">
        <v>440</v>
      </c>
      <c r="B236" s="2" t="s">
        <v>350</v>
      </c>
      <c r="C236" s="2" t="s">
        <v>292</v>
      </c>
      <c r="D236" s="2" t="s">
        <v>431</v>
      </c>
      <c r="E236" s="6">
        <v>1300</v>
      </c>
      <c r="F236" s="18">
        <v>0</v>
      </c>
      <c r="G236" s="18">
        <v>0</v>
      </c>
      <c r="H236" s="18">
        <f>24111.81+9501.3</f>
        <v>33613.11</v>
      </c>
      <c r="I236" s="18">
        <v>0</v>
      </c>
      <c r="J236" s="18">
        <v>0</v>
      </c>
      <c r="K236" s="18">
        <v>0</v>
      </c>
      <c r="L236" s="19">
        <f>SUM(F236:K236)</f>
        <v>33613.11</v>
      </c>
      <c r="M236" s="8"/>
      <c r="N236" s="264"/>
    </row>
    <row r="237" spans="1:14" s="3" customFormat="1" ht="12.2" customHeight="1" x14ac:dyDescent="0.15">
      <c r="A237" s="1" t="s">
        <v>441</v>
      </c>
      <c r="B237" s="2" t="s">
        <v>350</v>
      </c>
      <c r="C237" s="2" t="s">
        <v>293</v>
      </c>
      <c r="D237" s="2" t="s">
        <v>431</v>
      </c>
      <c r="E237" s="6">
        <v>1400</v>
      </c>
      <c r="F237" s="18">
        <f>361848+56508</f>
        <v>418356</v>
      </c>
      <c r="G237" s="18">
        <v>199811.13</v>
      </c>
      <c r="H237" s="18">
        <f>52233.73+3995+26780.79-24771.25</f>
        <v>58238.270000000004</v>
      </c>
      <c r="I237" s="18">
        <v>18257.63</v>
      </c>
      <c r="J237" s="18">
        <f>13740.41+3492.01+8332.46</f>
        <v>25564.879999999997</v>
      </c>
      <c r="K237" s="18">
        <v>2116.31</v>
      </c>
      <c r="L237" s="19">
        <f>SUM(F237:K237)</f>
        <v>722344.22000000009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795093.27+23745.35+22349.64+22342.73</f>
        <v>863530.99</v>
      </c>
      <c r="G239" s="18">
        <v>412431.28</v>
      </c>
      <c r="H239" s="18">
        <f>31076.6+34835.48+7507.11</f>
        <v>73419.19</v>
      </c>
      <c r="I239" s="18">
        <v>8545.75</v>
      </c>
      <c r="J239" s="18">
        <v>0</v>
      </c>
      <c r="K239" s="18">
        <v>400</v>
      </c>
      <c r="L239" s="19">
        <f t="shared" ref="L239:L245" si="4">SUM(F239:K239)</f>
        <v>1358327.21</v>
      </c>
      <c r="M239" s="8"/>
      <c r="N239" s="264"/>
    </row>
    <row r="240" spans="1:14" s="3" customFormat="1" ht="12.2" customHeight="1" x14ac:dyDescent="0.15">
      <c r="A240" s="1" t="s">
        <v>443</v>
      </c>
      <c r="B240" s="2" t="s">
        <v>350</v>
      </c>
      <c r="C240" s="2" t="s">
        <v>295</v>
      </c>
      <c r="D240" s="2" t="s">
        <v>431</v>
      </c>
      <c r="E240" s="6">
        <v>2200</v>
      </c>
      <c r="F240" s="18">
        <f>158818.07+26520+1292-400.52</f>
        <v>186229.55000000002</v>
      </c>
      <c r="G240" s="18">
        <v>88945.15</v>
      </c>
      <c r="H240" s="18">
        <v>3100.75</v>
      </c>
      <c r="I240" s="18">
        <f>28817.24+860.74</f>
        <v>29677.980000000003</v>
      </c>
      <c r="J240" s="18">
        <v>123295.16</v>
      </c>
      <c r="K240" s="18">
        <v>25</v>
      </c>
      <c r="L240" s="19">
        <f t="shared" si="4"/>
        <v>431273.58999999997</v>
      </c>
      <c r="M240" s="8"/>
      <c r="N240" s="264"/>
    </row>
    <row r="241" spans="1:14" s="3" customFormat="1" ht="12.2" customHeight="1" x14ac:dyDescent="0.15">
      <c r="A241" s="1" t="s">
        <v>444</v>
      </c>
      <c r="B241" s="2" t="s">
        <v>350</v>
      </c>
      <c r="C241" s="2" t="s">
        <v>296</v>
      </c>
      <c r="D241" s="2" t="s">
        <v>431</v>
      </c>
      <c r="E241" s="6">
        <v>2300</v>
      </c>
      <c r="F241" s="18">
        <f>2244+680</f>
        <v>2924</v>
      </c>
      <c r="G241" s="18">
        <v>1396.53</v>
      </c>
      <c r="H241" s="18">
        <f>894.2+1480.1+9647.72+1941.4+6747.3+8160+21188.16+618973.45+84.59</f>
        <v>669116.91999999993</v>
      </c>
      <c r="I241" s="18">
        <f>537.19</f>
        <v>537.19000000000005</v>
      </c>
      <c r="J241" s="18">
        <v>0</v>
      </c>
      <c r="K241" s="18">
        <v>3850.24</v>
      </c>
      <c r="L241" s="19">
        <f t="shared" si="4"/>
        <v>677824.87999999989</v>
      </c>
      <c r="M241" s="8"/>
      <c r="N241" s="264"/>
    </row>
    <row r="242" spans="1:14" s="3" customFormat="1" ht="12.2" customHeight="1" x14ac:dyDescent="0.15">
      <c r="A242" s="1" t="s">
        <v>445</v>
      </c>
      <c r="B242" s="2" t="s">
        <v>350</v>
      </c>
      <c r="C242" s="2" t="s">
        <v>297</v>
      </c>
      <c r="D242" s="2" t="s">
        <v>431</v>
      </c>
      <c r="E242" s="6">
        <v>2400</v>
      </c>
      <c r="F242" s="18">
        <f>445579.58+244.8</f>
        <v>445824.38</v>
      </c>
      <c r="G242" s="18">
        <v>212930.31</v>
      </c>
      <c r="H242" s="18">
        <f>48266.1+1699.74+987.7+22852.73</f>
        <v>73806.26999999999</v>
      </c>
      <c r="I242" s="18">
        <f>475.43+95278.97+233.74+6799.9+3690.7</f>
        <v>106478.73999999999</v>
      </c>
      <c r="J242" s="18">
        <v>0</v>
      </c>
      <c r="K242" s="18">
        <f>15448.66+77.07</f>
        <v>15525.73</v>
      </c>
      <c r="L242" s="19">
        <f t="shared" si="4"/>
        <v>854565.42999999993</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84.71</v>
      </c>
      <c r="L243" s="19">
        <f t="shared" si="4"/>
        <v>84.71</v>
      </c>
      <c r="M243" s="8"/>
      <c r="N243" s="264"/>
    </row>
    <row r="244" spans="1:14" s="3" customFormat="1" ht="12.2" customHeight="1" x14ac:dyDescent="0.15">
      <c r="A244" s="1" t="s">
        <v>447</v>
      </c>
      <c r="B244" s="2" t="s">
        <v>350</v>
      </c>
      <c r="C244" s="2" t="s">
        <v>299</v>
      </c>
      <c r="D244" s="2" t="s">
        <v>431</v>
      </c>
      <c r="E244" s="6">
        <v>2600</v>
      </c>
      <c r="F244" s="18">
        <f>287664.83</f>
        <v>287664.83</v>
      </c>
      <c r="G244" s="18">
        <v>137391.67999999999</v>
      </c>
      <c r="H244" s="18">
        <f>169937.23+1085.62+41949.88</f>
        <v>212972.73</v>
      </c>
      <c r="I244" s="18">
        <f>204203.39+117.27+41534.12+9626.62</f>
        <v>255481.4</v>
      </c>
      <c r="J244" s="18">
        <v>874.28</v>
      </c>
      <c r="K244" s="18">
        <f>37724.36+108619.12</f>
        <v>146343.47999999998</v>
      </c>
      <c r="L244" s="19">
        <f t="shared" si="4"/>
        <v>1040728.4</v>
      </c>
      <c r="M244" s="8"/>
      <c r="N244" s="264"/>
    </row>
    <row r="245" spans="1:14" s="3" customFormat="1" ht="12.2" customHeight="1" x14ac:dyDescent="0.15">
      <c r="A245" s="1" t="s">
        <v>448</v>
      </c>
      <c r="B245" s="2" t="s">
        <v>350</v>
      </c>
      <c r="C245" s="2" t="s">
        <v>300</v>
      </c>
      <c r="D245" s="2" t="s">
        <v>431</v>
      </c>
      <c r="E245" s="6">
        <v>2700</v>
      </c>
      <c r="F245" s="18">
        <v>31596.28</v>
      </c>
      <c r="G245" s="18">
        <v>15090.71</v>
      </c>
      <c r="H245" s="18">
        <f>402021.72+91.8+24771.25</f>
        <v>426884.76999999996</v>
      </c>
      <c r="I245" s="18">
        <f>14596.16+77.52+222.2+3019.39</f>
        <v>17915.27</v>
      </c>
      <c r="J245" s="18">
        <v>0</v>
      </c>
      <c r="K245" s="18">
        <v>0</v>
      </c>
      <c r="L245" s="19">
        <f t="shared" si="4"/>
        <v>491487.02999999997</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7238296.1499999994</v>
      </c>
      <c r="G248" s="41">
        <f t="shared" si="5"/>
        <v>3457084.67</v>
      </c>
      <c r="H248" s="41">
        <f t="shared" si="5"/>
        <v>2523669.6399999997</v>
      </c>
      <c r="I248" s="41">
        <f t="shared" si="5"/>
        <v>568384.62</v>
      </c>
      <c r="J248" s="41">
        <f t="shared" si="5"/>
        <v>193295.1</v>
      </c>
      <c r="K248" s="41">
        <f t="shared" si="5"/>
        <v>172956.44999999998</v>
      </c>
      <c r="L248" s="41">
        <f t="shared" si="5"/>
        <v>14153686.629999999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f>406.3+191.2</f>
        <v>597.5</v>
      </c>
      <c r="K256" s="18"/>
      <c r="L256" s="19">
        <f t="shared" si="6"/>
        <v>597.5</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597.5</v>
      </c>
      <c r="K257" s="41">
        <f t="shared" si="7"/>
        <v>0</v>
      </c>
      <c r="L257" s="41">
        <f>SUM(F257:K257)</f>
        <v>597.5</v>
      </c>
      <c r="M257" s="8"/>
      <c r="N257" s="264"/>
    </row>
    <row r="258" spans="1:14" s="3" customFormat="1" ht="12.2" customHeight="1" thickTop="1" x14ac:dyDescent="0.15">
      <c r="A258" s="38" t="s">
        <v>462</v>
      </c>
      <c r="B258" s="40">
        <v>10</v>
      </c>
      <c r="C258" s="40">
        <v>8</v>
      </c>
      <c r="D258" s="39" t="s">
        <v>431</v>
      </c>
      <c r="E258" s="40"/>
      <c r="F258" s="41">
        <f t="shared" ref="F258:L258" si="8">F212+F230+F248+F257</f>
        <v>10956651.76</v>
      </c>
      <c r="G258" s="41">
        <f t="shared" si="8"/>
        <v>5085984.2300000004</v>
      </c>
      <c r="H258" s="41">
        <f t="shared" si="8"/>
        <v>3583818.53</v>
      </c>
      <c r="I258" s="41">
        <f t="shared" si="8"/>
        <v>877991.33</v>
      </c>
      <c r="J258" s="41">
        <f t="shared" si="8"/>
        <v>263884.7</v>
      </c>
      <c r="K258" s="41">
        <f t="shared" si="8"/>
        <v>271734.57</v>
      </c>
      <c r="L258" s="41">
        <f t="shared" si="8"/>
        <v>21040065.119999997</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12522.35+668695.26</f>
        <v>681217.61</v>
      </c>
      <c r="L261" s="19">
        <f>SUM(F261:K261)</f>
        <v>681217.61</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2105.63+113245.1</f>
        <v>115350.73000000001</v>
      </c>
      <c r="L262" s="19">
        <f>SUM(F262:K262)</f>
        <v>115350.73000000001</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40390.39+200000+25000</f>
        <v>265390.39</v>
      </c>
      <c r="L267" s="19">
        <f t="shared" si="9"/>
        <v>265390.39</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1061958.73</v>
      </c>
      <c r="L271" s="41">
        <f t="shared" si="9"/>
        <v>1061958.73</v>
      </c>
      <c r="M271" s="8"/>
      <c r="N271" s="264"/>
    </row>
    <row r="272" spans="1:14" s="34" customFormat="1" ht="12.2" customHeight="1" thickTop="1" x14ac:dyDescent="0.2">
      <c r="A272" s="43" t="s">
        <v>464</v>
      </c>
      <c r="B272" s="40">
        <v>10</v>
      </c>
      <c r="C272" s="40">
        <v>18</v>
      </c>
      <c r="D272" s="39" t="s">
        <v>431</v>
      </c>
      <c r="E272" s="40"/>
      <c r="F272" s="42">
        <f t="shared" ref="F272:L272" si="11">F258+F271</f>
        <v>10956651.76</v>
      </c>
      <c r="G272" s="42">
        <f t="shared" si="11"/>
        <v>5085984.2300000004</v>
      </c>
      <c r="H272" s="42">
        <f t="shared" si="11"/>
        <v>3583818.53</v>
      </c>
      <c r="I272" s="42">
        <f t="shared" si="11"/>
        <v>877991.33</v>
      </c>
      <c r="J272" s="42">
        <f t="shared" si="11"/>
        <v>263884.7</v>
      </c>
      <c r="K272" s="42">
        <f t="shared" si="11"/>
        <v>1333693.3</v>
      </c>
      <c r="L272" s="42">
        <f t="shared" si="11"/>
        <v>22102023.849999998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50439.5+30957.5+40429.67</f>
        <v>121826.67</v>
      </c>
      <c r="G296" s="18"/>
      <c r="H296" s="18"/>
      <c r="I296" s="18"/>
      <c r="J296" s="18">
        <f>247.45+10038.95</f>
        <v>10286.400000000001</v>
      </c>
      <c r="K296" s="18"/>
      <c r="L296" s="19">
        <f>SUM(F296:K296)</f>
        <v>132113.07</v>
      </c>
      <c r="M296" s="8"/>
      <c r="N296" s="264"/>
    </row>
    <row r="297" spans="1:14" s="3" customFormat="1" ht="12.2" customHeight="1" x14ac:dyDescent="0.15">
      <c r="A297" s="1" t="s">
        <v>439</v>
      </c>
      <c r="B297" s="2" t="s">
        <v>358</v>
      </c>
      <c r="C297" s="2" t="s">
        <v>291</v>
      </c>
      <c r="D297" s="2" t="s">
        <v>431</v>
      </c>
      <c r="E297" s="6">
        <v>1200</v>
      </c>
      <c r="F297" s="18">
        <f>19899.86+1012.93</f>
        <v>20912.79</v>
      </c>
      <c r="G297" s="18"/>
      <c r="H297" s="18">
        <v>3397.5</v>
      </c>
      <c r="I297" s="18">
        <f>71.5+286+11021.25+1947.5+962.07+1195+3550.05</f>
        <v>19033.37</v>
      </c>
      <c r="J297" s="18">
        <v>2049.5</v>
      </c>
      <c r="K297" s="18">
        <v>3692.08</v>
      </c>
      <c r="L297" s="19">
        <f>SUM(F297:K297)</f>
        <v>49085.240000000005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v>2185.2399999999998</v>
      </c>
      <c r="J299" s="18"/>
      <c r="K299" s="18"/>
      <c r="L299" s="19">
        <f>SUM(F299:K299)</f>
        <v>2185.2399999999998</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495</v>
      </c>
      <c r="G301" s="18"/>
      <c r="H301" s="18">
        <v>1425</v>
      </c>
      <c r="I301" s="18"/>
      <c r="J301" s="18"/>
      <c r="K301" s="18"/>
      <c r="L301" s="19">
        <f t="shared" ref="L301:L307" si="14">SUM(F301:K301)</f>
        <v>1920</v>
      </c>
      <c r="M301" s="8"/>
      <c r="N301" s="264"/>
    </row>
    <row r="302" spans="1:14" s="3" customFormat="1" ht="12.2" customHeight="1" x14ac:dyDescent="0.15">
      <c r="A302" s="1" t="s">
        <v>443</v>
      </c>
      <c r="B302" s="2" t="s">
        <v>358</v>
      </c>
      <c r="C302" s="2" t="s">
        <v>295</v>
      </c>
      <c r="D302" s="2" t="s">
        <v>431</v>
      </c>
      <c r="E302" s="6">
        <v>2200</v>
      </c>
      <c r="F302" s="18">
        <f>750+500</f>
        <v>1250</v>
      </c>
      <c r="G302" s="18"/>
      <c r="H302" s="18">
        <f>5443.5+150+4403.17</f>
        <v>9996.67</v>
      </c>
      <c r="I302" s="18"/>
      <c r="J302" s="18">
        <f>3869.3+31772.46</f>
        <v>35641.760000000002</v>
      </c>
      <c r="K302" s="18"/>
      <c r="L302" s="19">
        <f t="shared" si="14"/>
        <v>46888.43</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v>114839.79</v>
      </c>
      <c r="J306" s="18"/>
      <c r="K306" s="18"/>
      <c r="L306" s="19">
        <f t="shared" si="14"/>
        <v>114839.79</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144484.46</v>
      </c>
      <c r="G310" s="42">
        <f t="shared" si="15"/>
        <v>0</v>
      </c>
      <c r="H310" s="42">
        <f t="shared" si="15"/>
        <v>14819.17</v>
      </c>
      <c r="I310" s="42">
        <f t="shared" si="15"/>
        <v>136058.4</v>
      </c>
      <c r="J310" s="42">
        <f t="shared" si="15"/>
        <v>47977.66</v>
      </c>
      <c r="K310" s="42">
        <f t="shared" si="15"/>
        <v>3692.08</v>
      </c>
      <c r="L310" s="41">
        <f t="shared" si="15"/>
        <v>347031.76999999996</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121826.67</v>
      </c>
      <c r="G315" s="18"/>
      <c r="H315" s="18"/>
      <c r="I315" s="18"/>
      <c r="J315" s="18">
        <v>10286.4</v>
      </c>
      <c r="K315" s="18"/>
      <c r="L315" s="19">
        <f>SUM(F315:K315)</f>
        <v>132113.07</v>
      </c>
      <c r="M315" s="8"/>
      <c r="N315" s="264"/>
    </row>
    <row r="316" spans="1:14" s="3" customFormat="1" ht="12.2" customHeight="1" x14ac:dyDescent="0.15">
      <c r="A316" s="1" t="s">
        <v>439</v>
      </c>
      <c r="B316" s="2" t="s">
        <v>359</v>
      </c>
      <c r="C316" s="2" t="s">
        <v>291</v>
      </c>
      <c r="D316" s="2" t="s">
        <v>431</v>
      </c>
      <c r="E316" s="6">
        <v>1200</v>
      </c>
      <c r="F316" s="18">
        <v>20912.79</v>
      </c>
      <c r="G316" s="18"/>
      <c r="H316" s="18">
        <v>3397.5</v>
      </c>
      <c r="I316" s="18">
        <v>19033.37</v>
      </c>
      <c r="J316" s="18">
        <v>2049.5</v>
      </c>
      <c r="K316" s="18">
        <v>3692.08</v>
      </c>
      <c r="L316" s="19">
        <f>SUM(F316:K316)</f>
        <v>49085.240000000005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v>5947.84</v>
      </c>
      <c r="I318" s="18">
        <v>85748.02</v>
      </c>
      <c r="J318" s="18">
        <v>455000</v>
      </c>
      <c r="K318" s="18"/>
      <c r="L318" s="19">
        <f>SUM(F318:K318)</f>
        <v>546695.86</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495</v>
      </c>
      <c r="G320" s="18"/>
      <c r="H320" s="18">
        <v>1425</v>
      </c>
      <c r="I320" s="18">
        <v>266.89999999999998</v>
      </c>
      <c r="J320" s="18"/>
      <c r="K320" s="18"/>
      <c r="L320" s="19">
        <f t="shared" ref="L320:L326" si="16">SUM(F320:K320)</f>
        <v>2186.9</v>
      </c>
      <c r="M320" s="8"/>
      <c r="N320" s="264"/>
    </row>
    <row r="321" spans="1:14" s="3" customFormat="1" ht="12.2" customHeight="1" x14ac:dyDescent="0.15">
      <c r="A321" s="1" t="s">
        <v>443</v>
      </c>
      <c r="B321" s="2" t="s">
        <v>359</v>
      </c>
      <c r="C321" s="2" t="s">
        <v>295</v>
      </c>
      <c r="D321" s="2" t="s">
        <v>431</v>
      </c>
      <c r="E321" s="6">
        <v>2200</v>
      </c>
      <c r="F321" s="18">
        <v>1250</v>
      </c>
      <c r="G321" s="18"/>
      <c r="H321" s="18">
        <v>9996.67</v>
      </c>
      <c r="I321" s="18"/>
      <c r="J321" s="18">
        <v>35641.760000000002</v>
      </c>
      <c r="K321" s="18"/>
      <c r="L321" s="19">
        <f t="shared" si="16"/>
        <v>46888.43</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v>114839.79</v>
      </c>
      <c r="J325" s="18"/>
      <c r="K325" s="18"/>
      <c r="L325" s="19">
        <f t="shared" si="16"/>
        <v>114839.79</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144484.46</v>
      </c>
      <c r="G329" s="42">
        <f t="shared" si="17"/>
        <v>0</v>
      </c>
      <c r="H329" s="42">
        <f t="shared" si="17"/>
        <v>20767.010000000002</v>
      </c>
      <c r="I329" s="42">
        <f t="shared" si="17"/>
        <v>219888.08</v>
      </c>
      <c r="J329" s="42">
        <f t="shared" si="17"/>
        <v>502977.66000000003</v>
      </c>
      <c r="K329" s="42">
        <f t="shared" si="17"/>
        <v>3692.08</v>
      </c>
      <c r="L329" s="41">
        <f t="shared" si="17"/>
        <v>891809.29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288968.92</v>
      </c>
      <c r="G339" s="41">
        <f t="shared" si="20"/>
        <v>0</v>
      </c>
      <c r="H339" s="41">
        <f t="shared" si="20"/>
        <v>35586.18</v>
      </c>
      <c r="I339" s="41">
        <f t="shared" si="20"/>
        <v>355946.48</v>
      </c>
      <c r="J339" s="41">
        <f t="shared" si="20"/>
        <v>550955.32000000007</v>
      </c>
      <c r="K339" s="41">
        <f t="shared" si="20"/>
        <v>7384.16</v>
      </c>
      <c r="L339" s="41">
        <f t="shared" si="20"/>
        <v>1238841.06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8000</v>
      </c>
      <c r="L345" s="19">
        <f t="shared" ref="L345:L351" si="21">SUM(F345:K345)</f>
        <v>8000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8000</v>
      </c>
      <c r="L352" s="41">
        <f>SUM(L342:L351)</f>
        <v>8000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288968.92</v>
      </c>
      <c r="G353" s="41">
        <f>G339</f>
        <v>0</v>
      </c>
      <c r="H353" s="41">
        <f>H339</f>
        <v>35586.18</v>
      </c>
      <c r="I353" s="41">
        <f>I339</f>
        <v>355946.48</v>
      </c>
      <c r="J353" s="41">
        <f>J339</f>
        <v>550955.32000000007</v>
      </c>
      <c r="K353" s="47">
        <f>K339+K352</f>
        <v>15384.16</v>
      </c>
      <c r="L353" s="41">
        <f>L339+L352</f>
        <v>1246841.06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4"/>
    </row>
    <row r="360" spans="1:22" s="3" customFormat="1" ht="12.2" customHeight="1" x14ac:dyDescent="0.15">
      <c r="A360" s="1" t="s">
        <v>542</v>
      </c>
      <c r="B360" s="2" t="s">
        <v>366</v>
      </c>
      <c r="C360" s="6">
        <v>2</v>
      </c>
      <c r="D360" s="2" t="s">
        <v>431</v>
      </c>
      <c r="E360" s="6"/>
      <c r="F360" s="18">
        <f>11398.59+43069.49+1241.91+1405.48</f>
        <v>57115.470000000008</v>
      </c>
      <c r="G360" s="18">
        <v>211.07</v>
      </c>
      <c r="H360" s="18">
        <f>95+1293.51+35.92</f>
        <v>1424.43</v>
      </c>
      <c r="I360" s="18">
        <f>8018.92+1057.87+8440.92+33284.29+4223.56+889.18</f>
        <v>55914.74</v>
      </c>
      <c r="J360" s="18">
        <v>2613.04</v>
      </c>
      <c r="K360" s="18">
        <v>116.64</v>
      </c>
      <c r="L360" s="19">
        <f>SUM(F360:K360)</f>
        <v>117395.39</v>
      </c>
      <c r="M360" s="8"/>
      <c r="N360" s="264"/>
    </row>
    <row r="361" spans="1:22" s="3" customFormat="1" ht="12.2" customHeight="1" x14ac:dyDescent="0.15">
      <c r="A361" s="3" t="s">
        <v>543</v>
      </c>
      <c r="B361" s="2" t="s">
        <v>366</v>
      </c>
      <c r="C361" s="6">
        <v>3</v>
      </c>
      <c r="D361" s="2" t="s">
        <v>431</v>
      </c>
      <c r="E361" s="6"/>
      <c r="F361" s="18">
        <f>24222+64663.43+2639.07+8820.47</f>
        <v>100344.97</v>
      </c>
      <c r="G361" s="18">
        <v>448.53</v>
      </c>
      <c r="H361" s="18">
        <f>135+3813.79+76.32</f>
        <v>4025.11</v>
      </c>
      <c r="I361" s="18">
        <f>15924.48+2048.86+17936.96+58300.16+11739.06+1889.52</f>
        <v>107839.04000000001</v>
      </c>
      <c r="J361" s="18">
        <f>343.56+704.44+695.99</f>
        <v>1743.99</v>
      </c>
      <c r="K361" s="18">
        <v>247.86</v>
      </c>
      <c r="L361" s="19">
        <f>SUM(F361:K361)</f>
        <v>214649.5</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157460.44</v>
      </c>
      <c r="G363" s="47">
        <f t="shared" si="22"/>
        <v>659.59999999999991</v>
      </c>
      <c r="H363" s="47">
        <f t="shared" si="22"/>
        <v>5449.54</v>
      </c>
      <c r="I363" s="47">
        <f t="shared" si="22"/>
        <v>163753.78</v>
      </c>
      <c r="J363" s="47">
        <f t="shared" si="22"/>
        <v>4357.03</v>
      </c>
      <c r="K363" s="47">
        <f t="shared" si="22"/>
        <v>364.5</v>
      </c>
      <c r="L363" s="47">
        <f t="shared" si="22"/>
        <v>332044.89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f>8440.92+33284.29+4223.56</f>
        <v>45948.77</v>
      </c>
      <c r="H368" s="18">
        <f>17936.96+58300.16+11739.06</f>
        <v>87976.18</v>
      </c>
      <c r="I368" s="56">
        <f>SUM(F368:H368)</f>
        <v>133924.94999999998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f>55914.74-45948.77</f>
        <v>9965.9700000000012</v>
      </c>
      <c r="H369" s="63">
        <f>107839.04-87976.18</f>
        <v>19862.86</v>
      </c>
      <c r="I369" s="56">
        <f>SUM(F369:H369)</f>
        <v>29828.83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55914.74</v>
      </c>
      <c r="H370" s="47">
        <f>SUM(H368:H369)</f>
        <v>107839.03999999999</v>
      </c>
      <c r="I370" s="47">
        <f>SUM(I368:I369)</f>
        <v>163753.77999999997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630</v>
      </c>
      <c r="I380" s="18"/>
      <c r="J380" s="18"/>
      <c r="K380" s="18"/>
      <c r="L380" s="13">
        <f t="shared" si="23"/>
        <v>630</v>
      </c>
      <c r="M380" s="8"/>
      <c r="N380" s="264"/>
    </row>
    <row r="381" spans="1:14" s="3" customFormat="1" ht="12.2" customHeight="1" x14ac:dyDescent="0.15">
      <c r="A381" s="1" t="s">
        <v>510</v>
      </c>
      <c r="B381" s="2" t="s">
        <v>366</v>
      </c>
      <c r="C381" s="2" t="s">
        <v>347</v>
      </c>
      <c r="D381" s="2" t="s">
        <v>431</v>
      </c>
      <c r="E381" s="6">
        <v>4900</v>
      </c>
      <c r="F381" s="18"/>
      <c r="G381" s="18"/>
      <c r="H381" s="18">
        <v>69449</v>
      </c>
      <c r="I381" s="18"/>
      <c r="J381" s="18"/>
      <c r="K381" s="18"/>
      <c r="L381" s="13">
        <f t="shared" si="23"/>
        <v>69449</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70079</v>
      </c>
      <c r="I383" s="41">
        <f t="shared" si="24"/>
        <v>0</v>
      </c>
      <c r="J383" s="47">
        <f t="shared" si="24"/>
        <v>0</v>
      </c>
      <c r="K383" s="47">
        <f t="shared" si="24"/>
        <v>0</v>
      </c>
      <c r="L383" s="47">
        <f t="shared" si="24"/>
        <v>70079</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v>80.06</v>
      </c>
      <c r="I392" s="18"/>
      <c r="J392" s="24" t="s">
        <v>288</v>
      </c>
      <c r="K392" s="24" t="s">
        <v>288</v>
      </c>
      <c r="L392" s="56">
        <f t="shared" si="25"/>
        <v>80.06</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80.06</v>
      </c>
      <c r="I394" s="65">
        <f>SUM(I388:I393)</f>
        <v>0</v>
      </c>
      <c r="J394" s="45" t="s">
        <v>288</v>
      </c>
      <c r="K394" s="45" t="s">
        <v>288</v>
      </c>
      <c r="L394" s="47">
        <f>SUM(L388:L393)</f>
        <v>80.06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200000</v>
      </c>
      <c r="H397" s="18">
        <f>128.78+160.57</f>
        <v>289.35000000000002</v>
      </c>
      <c r="I397" s="18"/>
      <c r="J397" s="24" t="s">
        <v>288</v>
      </c>
      <c r="K397" s="24" t="s">
        <v>288</v>
      </c>
      <c r="L397" s="56">
        <f t="shared" si="26"/>
        <v>200289.35</v>
      </c>
      <c r="M397" s="8"/>
      <c r="N397" s="264"/>
    </row>
    <row r="398" spans="1:14" s="3" customFormat="1" ht="12.2" customHeight="1" x14ac:dyDescent="0.15">
      <c r="A398" s="79" t="s">
        <v>515</v>
      </c>
      <c r="B398" s="2" t="s">
        <v>381</v>
      </c>
      <c r="C398" s="6">
        <v>10</v>
      </c>
      <c r="D398" s="2" t="s">
        <v>432</v>
      </c>
      <c r="E398" s="6"/>
      <c r="F398" s="18"/>
      <c r="G398" s="18">
        <v>25000</v>
      </c>
      <c r="H398" s="18"/>
      <c r="I398" s="18"/>
      <c r="J398" s="24" t="s">
        <v>288</v>
      </c>
      <c r="K398" s="24" t="s">
        <v>288</v>
      </c>
      <c r="L398" s="56">
        <f t="shared" si="26"/>
        <v>25000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v>40390.39</v>
      </c>
      <c r="H401" s="18"/>
      <c r="I401" s="18"/>
      <c r="J401" s="24" t="s">
        <v>288</v>
      </c>
      <c r="K401" s="24" t="s">
        <v>288</v>
      </c>
      <c r="L401" s="56">
        <f t="shared" si="26"/>
        <v>40390.39</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265390.39</v>
      </c>
      <c r="H402" s="47">
        <f>SUM(H396:H401)</f>
        <v>289.35000000000002</v>
      </c>
      <c r="I402" s="47">
        <f>SUM(I396:I401)</f>
        <v>0</v>
      </c>
      <c r="J402" s="45" t="s">
        <v>288</v>
      </c>
      <c r="K402" s="45" t="s">
        <v>288</v>
      </c>
      <c r="L402" s="47">
        <f>SUM(L396:L401)</f>
        <v>265679.74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265390.39</v>
      </c>
      <c r="H409" s="47">
        <f>H394+H402+H408</f>
        <v>369.41</v>
      </c>
      <c r="I409" s="47">
        <f>I394+I402+I408</f>
        <v>0</v>
      </c>
      <c r="J409" s="24" t="s">
        <v>288</v>
      </c>
      <c r="K409" s="24" t="s">
        <v>288</v>
      </c>
      <c r="L409" s="47">
        <f>L394+L402+L408</f>
        <v>265759.8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v>3525</v>
      </c>
      <c r="I418" s="18">
        <f>1849+5056+2964.17+809.72+1227.5+342.4+4050+11790.25</f>
        <v>28089.040000000001</v>
      </c>
      <c r="J418" s="18">
        <f>2688.95+4991.1</f>
        <v>7680.05</v>
      </c>
      <c r="K418" s="18">
        <v>7125</v>
      </c>
      <c r="L418" s="56">
        <f t="shared" si="27"/>
        <v>46419.090000000004</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3525</v>
      </c>
      <c r="I420" s="139">
        <f t="shared" si="28"/>
        <v>28089.040000000001</v>
      </c>
      <c r="J420" s="139">
        <f t="shared" si="28"/>
        <v>7680.05</v>
      </c>
      <c r="K420" s="139">
        <f t="shared" si="28"/>
        <v>7125</v>
      </c>
      <c r="L420" s="47">
        <f t="shared" si="28"/>
        <v>46419.090000000004</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f>73907.5+62595</f>
        <v>136502.5</v>
      </c>
      <c r="K423" s="18"/>
      <c r="L423" s="56">
        <f t="shared" si="29"/>
        <v>136502.5</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136502.5</v>
      </c>
      <c r="K428" s="47">
        <f t="shared" si="30"/>
        <v>0</v>
      </c>
      <c r="L428" s="47">
        <f t="shared" si="30"/>
        <v>136502.5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3525</v>
      </c>
      <c r="I435" s="47">
        <f t="shared" si="32"/>
        <v>28089.040000000001</v>
      </c>
      <c r="J435" s="47">
        <f t="shared" si="32"/>
        <v>144182.54999999999</v>
      </c>
      <c r="K435" s="47">
        <f t="shared" si="32"/>
        <v>7125</v>
      </c>
      <c r="L435" s="47">
        <f t="shared" si="32"/>
        <v>182921.59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f>210212.18+811663.79</f>
        <v>1021875.97</v>
      </c>
      <c r="H443" s="18"/>
      <c r="I443" s="56">
        <f t="shared" si="33"/>
        <v>1021875.97</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1021875.97</v>
      </c>
      <c r="H447" s="13">
        <f>SUM(H440:H446)</f>
        <v>0</v>
      </c>
      <c r="I447" s="13">
        <f>SUM(I440:I446)</f>
        <v>1021875.97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f>175559.13+443204</f>
        <v>618763.13</v>
      </c>
      <c r="H449" s="18"/>
      <c r="I449" s="56">
        <f>SUM(F449:H449)</f>
        <v>618763.13</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618763.13</v>
      </c>
      <c r="H453" s="72">
        <f>SUM(H449:H452)</f>
        <v>0</v>
      </c>
      <c r="I453" s="72">
        <f>SUM(I449:I452)</f>
        <v>618763.13</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40601.69+279672.94+88786.85-5948.64</f>
        <v>403112.83999999997</v>
      </c>
      <c r="H460" s="18"/>
      <c r="I460" s="56">
        <f t="shared" si="34"/>
        <v>403112.83999999997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403112.83999999997</v>
      </c>
      <c r="H461" s="83">
        <f>SUM(H455:H460)</f>
        <v>0</v>
      </c>
      <c r="I461" s="83">
        <f>SUM(I455:I460)</f>
        <v>403112.83999999997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1021875.97</v>
      </c>
      <c r="H462" s="42">
        <f>H453+H461</f>
        <v>0</v>
      </c>
      <c r="I462" s="42">
        <f>I453+I461</f>
        <v>1021875.97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1982125.12+4669.6</f>
        <v>1986794.7200000002</v>
      </c>
      <c r="G466" s="18">
        <v>188603.33</v>
      </c>
      <c r="H466" s="18">
        <f>259953.75+45000+0.07</f>
        <v>304953.82</v>
      </c>
      <c r="I466" s="18">
        <f>102227.07-0.07</f>
        <v>102227</v>
      </c>
      <c r="J466" s="18">
        <v>320274.63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23047550.559999999</v>
      </c>
      <c r="G469" s="18">
        <v>332703.2</v>
      </c>
      <c r="H469" s="18">
        <v>1220832.3</v>
      </c>
      <c r="I469" s="18">
        <v>0</v>
      </c>
      <c r="J469" s="18">
        <v>265759.8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23047550.559999999</v>
      </c>
      <c r="G471" s="53">
        <f>SUM(G469:G470)</f>
        <v>332703.2</v>
      </c>
      <c r="H471" s="53">
        <f>SUM(H469:H470)</f>
        <v>1220832.3</v>
      </c>
      <c r="I471" s="53">
        <f>SUM(I469:I470)</f>
        <v>0</v>
      </c>
      <c r="J471" s="53">
        <f>SUM(J469:J470)</f>
        <v>265759.8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22102023.850000001</v>
      </c>
      <c r="G473" s="18">
        <v>332044.89</v>
      </c>
      <c r="H473" s="18">
        <v>1246841.06</v>
      </c>
      <c r="I473" s="18">
        <v>70079</v>
      </c>
      <c r="J473" s="18">
        <v>182921.59</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22102023.850000001</v>
      </c>
      <c r="G475" s="53">
        <f>SUM(G473:G474)</f>
        <v>332044.89</v>
      </c>
      <c r="H475" s="53">
        <f>SUM(H473:H474)</f>
        <v>1246841.06</v>
      </c>
      <c r="I475" s="53">
        <f>SUM(I473:I474)</f>
        <v>70079</v>
      </c>
      <c r="J475" s="53">
        <f>SUM(J473:J474)</f>
        <v>182921.59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2932321.429999996</v>
      </c>
      <c r="G477" s="53">
        <f>(G466+G471)- G475</f>
        <v>189261.64</v>
      </c>
      <c r="H477" s="53">
        <f>(H466+H471)- H475</f>
        <v>278945.06000000006</v>
      </c>
      <c r="I477" s="53">
        <f>(I466+I471)- I475</f>
        <v>32148</v>
      </c>
      <c r="J477" s="53">
        <f>(J466+J471)- J475</f>
        <v>403112.83999999997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1678</v>
      </c>
      <c r="G492" s="155" t="s">
        <v>1675</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1679</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7703400</v>
      </c>
      <c r="G494" s="18">
        <v>1553374.28</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4.54</v>
      </c>
      <c r="G495" s="18">
        <v>2</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2685000</v>
      </c>
      <c r="G496" s="18">
        <f>1553374.28-183695.26</f>
        <v>1369679.02</v>
      </c>
      <c r="H496" s="18"/>
      <c r="I496" s="18"/>
      <c r="J496" s="18"/>
      <c r="K496" s="53">
        <f>SUM(F496:J496)</f>
        <v>4054679.02</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485000</v>
      </c>
      <c r="G498" s="18">
        <v>183695.26</v>
      </c>
      <c r="H498" s="18"/>
      <c r="I498" s="18"/>
      <c r="J498" s="18"/>
      <c r="K498" s="53">
        <f t="shared" si="35"/>
        <v>668695.26</v>
      </c>
      <c r="L498" s="24" t="s">
        <v>288</v>
      </c>
      <c r="N498" s="263"/>
    </row>
    <row r="499" spans="1:14" s="52" customFormat="1" ht="12.2" customHeight="1" x14ac:dyDescent="0.2">
      <c r="A499" s="200" t="s">
        <v>622</v>
      </c>
      <c r="B499" s="201">
        <v>20</v>
      </c>
      <c r="C499" s="202">
        <v>9</v>
      </c>
      <c r="D499" s="203" t="s">
        <v>432</v>
      </c>
      <c r="E499" s="202"/>
      <c r="F499" s="204">
        <v>2200000</v>
      </c>
      <c r="G499" s="204">
        <f>G496-G498</f>
        <v>1185983.76</v>
      </c>
      <c r="H499" s="204"/>
      <c r="I499" s="204"/>
      <c r="J499" s="204"/>
      <c r="K499" s="205">
        <f t="shared" si="35"/>
        <v>3385983.76</v>
      </c>
      <c r="L499" s="206" t="s">
        <v>288</v>
      </c>
      <c r="N499" s="263"/>
    </row>
    <row r="500" spans="1:14" s="52" customFormat="1" ht="12.2" customHeight="1" thickBot="1" x14ac:dyDescent="0.25">
      <c r="A500" s="22" t="s">
        <v>623</v>
      </c>
      <c r="B500" s="75">
        <v>20</v>
      </c>
      <c r="C500" s="115">
        <v>10</v>
      </c>
      <c r="D500" s="2" t="s">
        <v>432</v>
      </c>
      <c r="E500" s="115"/>
      <c r="F500" s="18">
        <f>295089.75-54965.75-55000</f>
        <v>185124</v>
      </c>
      <c r="G500" s="18">
        <f>129397.19-3279.35</f>
        <v>126117.84</v>
      </c>
      <c r="H500" s="18"/>
      <c r="I500" s="18"/>
      <c r="J500" s="18"/>
      <c r="K500" s="53">
        <f t="shared" si="35"/>
        <v>311241.83999999997</v>
      </c>
      <c r="L500" s="24" t="s">
        <v>288</v>
      </c>
      <c r="N500" s="263"/>
    </row>
    <row r="501" spans="1:14" s="52" customFormat="1" ht="12.2" customHeight="1" thickTop="1" x14ac:dyDescent="0.2">
      <c r="A501" s="139" t="s">
        <v>624</v>
      </c>
      <c r="B501" s="44">
        <v>20</v>
      </c>
      <c r="C501" s="195">
        <v>11</v>
      </c>
      <c r="D501" s="39" t="s">
        <v>432</v>
      </c>
      <c r="E501" s="195"/>
      <c r="F501" s="42">
        <f>SUM(F499:F500)</f>
        <v>2385124</v>
      </c>
      <c r="G501" s="42">
        <f>SUM(G499:G500)</f>
        <v>1312101.6000000001</v>
      </c>
      <c r="H501" s="42">
        <f>SUM(H499:H500)</f>
        <v>0</v>
      </c>
      <c r="I501" s="42">
        <f>SUM(I499:I500)</f>
        <v>0</v>
      </c>
      <c r="J501" s="42">
        <f>SUM(J499:J500)</f>
        <v>0</v>
      </c>
      <c r="K501" s="42">
        <f t="shared" si="35"/>
        <v>3697225.6</v>
      </c>
      <c r="L501" s="45" t="s">
        <v>288</v>
      </c>
      <c r="N501" s="263"/>
    </row>
    <row r="502" spans="1:14" s="52" customFormat="1" ht="12.2" customHeight="1" x14ac:dyDescent="0.2">
      <c r="A502" s="200" t="s">
        <v>651</v>
      </c>
      <c r="B502" s="201">
        <v>20</v>
      </c>
      <c r="C502" s="202">
        <v>12</v>
      </c>
      <c r="D502" s="203" t="s">
        <v>432</v>
      </c>
      <c r="E502" s="202"/>
      <c r="F502" s="204">
        <v>510000</v>
      </c>
      <c r="G502" s="204">
        <v>159581.03</v>
      </c>
      <c r="H502" s="204"/>
      <c r="I502" s="204"/>
      <c r="J502" s="204"/>
      <c r="K502" s="205">
        <f t="shared" si="35"/>
        <v>669581.03</v>
      </c>
      <c r="L502" s="206" t="s">
        <v>288</v>
      </c>
      <c r="N502" s="263"/>
    </row>
    <row r="503" spans="1:14" s="52" customFormat="1" ht="12.2" customHeight="1" thickBot="1" x14ac:dyDescent="0.25">
      <c r="A503" s="22" t="s">
        <v>625</v>
      </c>
      <c r="B503" s="75">
        <v>20</v>
      </c>
      <c r="C503" s="115">
        <v>13</v>
      </c>
      <c r="D503" s="2" t="s">
        <v>432</v>
      </c>
      <c r="E503" s="115"/>
      <c r="F503" s="18">
        <f>43447+42250</f>
        <v>85697</v>
      </c>
      <c r="G503" s="18">
        <v>27393.58</v>
      </c>
      <c r="H503" s="18"/>
      <c r="I503" s="18"/>
      <c r="J503" s="18"/>
      <c r="K503" s="53">
        <f t="shared" si="35"/>
        <v>113090.58</v>
      </c>
      <c r="L503" s="24" t="s">
        <v>288</v>
      </c>
      <c r="N503" s="263"/>
    </row>
    <row r="504" spans="1:14" s="52" customFormat="1" ht="12.2" customHeight="1" thickTop="1" x14ac:dyDescent="0.2">
      <c r="A504" s="139" t="s">
        <v>626</v>
      </c>
      <c r="B504" s="44">
        <v>20</v>
      </c>
      <c r="C504" s="195">
        <v>14</v>
      </c>
      <c r="D504" s="39" t="s">
        <v>432</v>
      </c>
      <c r="E504" s="195"/>
      <c r="F504" s="42">
        <f>SUM(F502:F503)</f>
        <v>595697</v>
      </c>
      <c r="G504" s="42">
        <f>SUM(G502:G503)</f>
        <v>186974.61</v>
      </c>
      <c r="H504" s="42">
        <f>SUM(H502:H503)</f>
        <v>0</v>
      </c>
      <c r="I504" s="42">
        <f>SUM(I502:I503)</f>
        <v>0</v>
      </c>
      <c r="J504" s="42">
        <f>SUM(J502:J503)</f>
        <v>0</v>
      </c>
      <c r="K504" s="42">
        <f t="shared" si="35"/>
        <v>782671.61</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f>6777.48+27242.88+311729.64+173354.49+1600+4440.77+19673.08+38887.55</f>
        <v>583705.89</v>
      </c>
      <c r="G523" s="18">
        <f>F523*0.46</f>
        <v>268504.70939999999</v>
      </c>
      <c r="H523" s="18">
        <f>34633.95+109386.31+14062.32+387.72+17961.01+3134.07+3532.76</f>
        <v>183098.14000000004</v>
      </c>
      <c r="I523" s="18">
        <f>24789.91-36.48</f>
        <v>24753.43</v>
      </c>
      <c r="J523" s="18">
        <v>2100.81</v>
      </c>
      <c r="K523" s="18">
        <v>780</v>
      </c>
      <c r="L523" s="88">
        <f>SUM(F523:K523)</f>
        <v>1062942.9794000001</v>
      </c>
      <c r="N523" s="263"/>
    </row>
    <row r="524" spans="1:14" s="52" customFormat="1" ht="12.2" customHeight="1" thickBot="1" x14ac:dyDescent="0.25">
      <c r="A524" s="22" t="s">
        <v>635</v>
      </c>
      <c r="B524" s="105">
        <v>21</v>
      </c>
      <c r="C524" s="115">
        <v>3</v>
      </c>
      <c r="D524" s="2" t="s">
        <v>432</v>
      </c>
      <c r="E524" s="115"/>
      <c r="F524" s="18">
        <f>30001.12+57891.12+524471.33+418800.89+3400+9436.63+49282.41</f>
        <v>1093283.5</v>
      </c>
      <c r="G524" s="18">
        <f>F524*0.46</f>
        <v>502910.41000000003</v>
      </c>
      <c r="H524" s="18">
        <f>75480.36+653749.42+28431.22+25869.6+707+3600+7507.11+132</f>
        <v>795476.71</v>
      </c>
      <c r="I524" s="18">
        <f>26472.77-77.52</f>
        <v>26395.25</v>
      </c>
      <c r="J524" s="18">
        <v>8743.91</v>
      </c>
      <c r="K524" s="18">
        <v>780</v>
      </c>
      <c r="L524" s="88">
        <f>SUM(F524:K524)</f>
        <v>2427589.7800000003</v>
      </c>
      <c r="N524" s="263"/>
    </row>
    <row r="525" spans="1:14" s="52" customFormat="1" ht="12.2" customHeight="1" thickTop="1" x14ac:dyDescent="0.2">
      <c r="A525" s="139" t="s">
        <v>63</v>
      </c>
      <c r="B525" s="107">
        <v>21</v>
      </c>
      <c r="C525" s="195">
        <v>4</v>
      </c>
      <c r="D525" s="196" t="s">
        <v>432</v>
      </c>
      <c r="E525" s="195"/>
      <c r="F525" s="108">
        <f>SUM(F522:F524)</f>
        <v>1676989.3900000001</v>
      </c>
      <c r="G525" s="108">
        <f t="shared" ref="G525:L525" si="36">SUM(G522:G524)</f>
        <v>771415.11939999997</v>
      </c>
      <c r="H525" s="108">
        <f t="shared" si="36"/>
        <v>978574.85</v>
      </c>
      <c r="I525" s="108">
        <f t="shared" si="36"/>
        <v>51148.68</v>
      </c>
      <c r="J525" s="108">
        <f t="shared" si="36"/>
        <v>10844.72</v>
      </c>
      <c r="K525" s="108">
        <f t="shared" si="36"/>
        <v>1560</v>
      </c>
      <c r="L525" s="89">
        <f t="shared" si="36"/>
        <v>3490532.7594000003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f>13971.05+7170.32+1880.95+440.51+58373+10514.22</f>
        <v>92350.05</v>
      </c>
      <c r="G528" s="18">
        <f>F528*0.46</f>
        <v>42481.023000000001</v>
      </c>
      <c r="H528" s="18">
        <v>24384.799999999999</v>
      </c>
      <c r="I528" s="18"/>
      <c r="J528" s="18"/>
      <c r="K528" s="18"/>
      <c r="L528" s="88">
        <f>SUM(F528:K528)</f>
        <v>159215.87299999999</v>
      </c>
      <c r="M528" s="8"/>
      <c r="N528" s="264"/>
    </row>
    <row r="529" spans="1:14" s="3" customFormat="1" ht="12.2" customHeight="1" thickBot="1" x14ac:dyDescent="0.2">
      <c r="A529" s="22" t="s">
        <v>635</v>
      </c>
      <c r="B529" s="118">
        <v>21</v>
      </c>
      <c r="C529" s="118">
        <v>7</v>
      </c>
      <c r="D529" s="2" t="s">
        <v>432</v>
      </c>
      <c r="E529" s="118"/>
      <c r="F529" s="18">
        <f>25917.59+990.39+776.28+3997.03+468.92+85134+145706.26+22342.73</f>
        <v>285333.19999999995</v>
      </c>
      <c r="G529" s="18">
        <f>F529*0.46</f>
        <v>131253.272</v>
      </c>
      <c r="H529" s="18">
        <v>195038.96</v>
      </c>
      <c r="I529" s="18"/>
      <c r="J529" s="18"/>
      <c r="K529" s="18"/>
      <c r="L529" s="88">
        <f>SUM(F529:K529)</f>
        <v>611625.43199999991</v>
      </c>
      <c r="M529" s="8"/>
      <c r="N529" s="264"/>
    </row>
    <row r="530" spans="1:14" s="3" customFormat="1" ht="12.2" customHeight="1" thickTop="1" x14ac:dyDescent="0.15">
      <c r="A530" s="139" t="s">
        <v>65</v>
      </c>
      <c r="B530" s="107">
        <v>21</v>
      </c>
      <c r="C530" s="107">
        <v>8</v>
      </c>
      <c r="D530" s="158" t="s">
        <v>432</v>
      </c>
      <c r="E530" s="107"/>
      <c r="F530" s="89">
        <f>SUM(F527:F529)</f>
        <v>377683.24999999994</v>
      </c>
      <c r="G530" s="89">
        <f t="shared" ref="G530:L530" si="37">SUM(G527:G529)</f>
        <v>173734.29499999998</v>
      </c>
      <c r="H530" s="89">
        <f t="shared" si="37"/>
        <v>219423.75999999998</v>
      </c>
      <c r="I530" s="89">
        <f t="shared" si="37"/>
        <v>0</v>
      </c>
      <c r="J530" s="89">
        <f t="shared" si="37"/>
        <v>0</v>
      </c>
      <c r="K530" s="89">
        <f t="shared" si="37"/>
        <v>0</v>
      </c>
      <c r="L530" s="89">
        <f t="shared" si="37"/>
        <v>770841.30499999993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v>79599.240000000005</v>
      </c>
      <c r="G533" s="18">
        <f>F533*0.46</f>
        <v>36615.650400000006</v>
      </c>
      <c r="H533" s="18"/>
      <c r="I533" s="18"/>
      <c r="J533" s="18"/>
      <c r="K533" s="18"/>
      <c r="L533" s="88">
        <f>SUM(F533:K533)</f>
        <v>116214.8904</v>
      </c>
      <c r="M533" s="8"/>
      <c r="N533" s="264"/>
    </row>
    <row r="534" spans="1:14" s="3" customFormat="1" ht="12.2" customHeight="1" thickBot="1" x14ac:dyDescent="0.2">
      <c r="A534" s="22" t="s">
        <v>635</v>
      </c>
      <c r="B534" s="105">
        <v>21</v>
      </c>
      <c r="C534" s="105">
        <v>11</v>
      </c>
      <c r="D534" s="2" t="s">
        <v>432</v>
      </c>
      <c r="E534" s="105"/>
      <c r="F534" s="18">
        <v>61611.73</v>
      </c>
      <c r="G534" s="18">
        <f>F534*0.46</f>
        <v>28341.395800000002</v>
      </c>
      <c r="H534" s="18"/>
      <c r="I534" s="18"/>
      <c r="J534" s="18"/>
      <c r="K534" s="18"/>
      <c r="L534" s="88">
        <f>SUM(F534:K534)</f>
        <v>89953.125800000009</v>
      </c>
      <c r="M534" s="8"/>
      <c r="N534" s="264"/>
    </row>
    <row r="535" spans="1:14" s="3" customFormat="1" ht="12.2" customHeight="1" thickTop="1" x14ac:dyDescent="0.15">
      <c r="A535" s="139" t="s">
        <v>67</v>
      </c>
      <c r="B535" s="107">
        <v>21</v>
      </c>
      <c r="C535" s="107">
        <v>12</v>
      </c>
      <c r="D535" s="158" t="s">
        <v>432</v>
      </c>
      <c r="E535" s="107"/>
      <c r="F535" s="89">
        <f>SUM(F532:F534)</f>
        <v>141210.97</v>
      </c>
      <c r="G535" s="89">
        <f t="shared" ref="G535:L535" si="38">SUM(G532:G534)</f>
        <v>64957.046200000012</v>
      </c>
      <c r="H535" s="89">
        <f t="shared" si="38"/>
        <v>0</v>
      </c>
      <c r="I535" s="89">
        <f t="shared" si="38"/>
        <v>0</v>
      </c>
      <c r="J535" s="89">
        <f t="shared" si="38"/>
        <v>0</v>
      </c>
      <c r="K535" s="89">
        <f t="shared" si="38"/>
        <v>0</v>
      </c>
      <c r="L535" s="89">
        <f t="shared" si="38"/>
        <v>206168.01620000001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v>3465.28</v>
      </c>
      <c r="I538" s="18"/>
      <c r="J538" s="18"/>
      <c r="K538" s="18"/>
      <c r="L538" s="88">
        <f>SUM(F538:K538)</f>
        <v>3465.28</v>
      </c>
      <c r="M538" s="8"/>
      <c r="N538" s="264"/>
    </row>
    <row r="539" spans="1:14" s="3" customFormat="1" ht="12.2" customHeight="1" thickBot="1" x14ac:dyDescent="0.2">
      <c r="A539" s="22" t="s">
        <v>635</v>
      </c>
      <c r="B539" s="105">
        <v>21</v>
      </c>
      <c r="C539" s="105">
        <v>15</v>
      </c>
      <c r="D539" s="2" t="s">
        <v>432</v>
      </c>
      <c r="E539" s="105"/>
      <c r="F539" s="18"/>
      <c r="G539" s="18"/>
      <c r="H539" s="18">
        <v>7363.73</v>
      </c>
      <c r="I539" s="18"/>
      <c r="J539" s="18"/>
      <c r="K539" s="18"/>
      <c r="L539" s="88">
        <f>SUM(F539:K539)</f>
        <v>7363.73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10829.01</v>
      </c>
      <c r="I540" s="89">
        <f t="shared" si="39"/>
        <v>0</v>
      </c>
      <c r="J540" s="89">
        <f t="shared" si="39"/>
        <v>0</v>
      </c>
      <c r="K540" s="89">
        <f t="shared" si="39"/>
        <v>0</v>
      </c>
      <c r="L540" s="89">
        <f t="shared" si="39"/>
        <v>10829.01</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f>41966.2+43.2+36.48+3940.6</f>
        <v>45986.479999999996</v>
      </c>
      <c r="I543" s="18"/>
      <c r="J543" s="18"/>
      <c r="K543" s="18"/>
      <c r="L543" s="88">
        <f>SUM(F543:K543)</f>
        <v>45986.479999999996</v>
      </c>
      <c r="M543" s="8"/>
      <c r="N543" s="264"/>
    </row>
    <row r="544" spans="1:14" s="3" customFormat="1" ht="12.2" customHeight="1" thickBot="1" x14ac:dyDescent="0.2">
      <c r="A544" s="22" t="s">
        <v>635</v>
      </c>
      <c r="B544" s="105">
        <v>21</v>
      </c>
      <c r="C544" s="105">
        <v>19</v>
      </c>
      <c r="D544" s="2" t="s">
        <v>432</v>
      </c>
      <c r="E544" s="105"/>
      <c r="F544" s="18"/>
      <c r="G544" s="18"/>
      <c r="H544" s="18">
        <f>115636.87+91.8+77.52</f>
        <v>115806.19</v>
      </c>
      <c r="I544" s="18"/>
      <c r="J544" s="18"/>
      <c r="K544" s="18"/>
      <c r="L544" s="88">
        <f>SUM(F544:K544)</f>
        <v>115806.19</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161792.66999999998</v>
      </c>
      <c r="I545" s="193">
        <f t="shared" si="40"/>
        <v>0</v>
      </c>
      <c r="J545" s="193">
        <f t="shared" si="40"/>
        <v>0</v>
      </c>
      <c r="K545" s="193">
        <f t="shared" si="40"/>
        <v>0</v>
      </c>
      <c r="L545" s="193">
        <f t="shared" si="40"/>
        <v>161792.66999999998</v>
      </c>
      <c r="M545" s="8"/>
      <c r="N545" s="264"/>
    </row>
    <row r="546" spans="1:14" s="3" customFormat="1" ht="12.2" customHeight="1" thickTop="1" x14ac:dyDescent="0.15">
      <c r="A546" s="98" t="s">
        <v>72</v>
      </c>
      <c r="B546" s="107">
        <v>21</v>
      </c>
      <c r="C546" s="107">
        <v>21</v>
      </c>
      <c r="D546" s="158" t="s">
        <v>432</v>
      </c>
      <c r="E546" s="107"/>
      <c r="F546" s="89">
        <f>F525+F530+F535+F540+F545</f>
        <v>2195883.6100000003</v>
      </c>
      <c r="G546" s="89">
        <f t="shared" ref="G546:L546" si="41">G525+G530+G535+G540+G545</f>
        <v>1010106.4605999999</v>
      </c>
      <c r="H546" s="89">
        <f t="shared" si="41"/>
        <v>1370620.2899999998</v>
      </c>
      <c r="I546" s="89">
        <f t="shared" si="41"/>
        <v>51148.68</v>
      </c>
      <c r="J546" s="89">
        <f t="shared" si="41"/>
        <v>10844.72</v>
      </c>
      <c r="K546" s="89">
        <f t="shared" si="41"/>
        <v>1560</v>
      </c>
      <c r="L546" s="89">
        <f t="shared" si="41"/>
        <v>4640163.7606000006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1062942.9794000001</v>
      </c>
      <c r="G551" s="87">
        <f>L528</f>
        <v>159215.87299999999</v>
      </c>
      <c r="H551" s="87">
        <f>L533</f>
        <v>116214.8904</v>
      </c>
      <c r="I551" s="87">
        <f>L538</f>
        <v>3465.28</v>
      </c>
      <c r="J551" s="87">
        <f>L543</f>
        <v>45986.479999999996</v>
      </c>
      <c r="K551" s="87">
        <f>SUM(F551:J551)</f>
        <v>1387825.5027999999</v>
      </c>
      <c r="L551" s="24" t="s">
        <v>288</v>
      </c>
      <c r="M551" s="8"/>
      <c r="N551" s="264"/>
    </row>
    <row r="552" spans="1:14" s="3" customFormat="1" ht="12.2" customHeight="1" thickBot="1" x14ac:dyDescent="0.2">
      <c r="A552" s="22" t="s">
        <v>635</v>
      </c>
      <c r="B552" s="75">
        <v>21</v>
      </c>
      <c r="C552" s="75">
        <v>24</v>
      </c>
      <c r="D552" s="2" t="s">
        <v>432</v>
      </c>
      <c r="E552" s="75"/>
      <c r="F552" s="87">
        <f>L524</f>
        <v>2427589.7800000003</v>
      </c>
      <c r="G552" s="87">
        <f>L529</f>
        <v>611625.43199999991</v>
      </c>
      <c r="H552" s="87">
        <f>L534</f>
        <v>89953.125800000009</v>
      </c>
      <c r="I552" s="87">
        <f>L539</f>
        <v>7363.73</v>
      </c>
      <c r="J552" s="87">
        <f>L544</f>
        <v>115806.19</v>
      </c>
      <c r="K552" s="87">
        <f>SUM(F552:J552)</f>
        <v>3252338.2578000003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3490532.7594000003</v>
      </c>
      <c r="G553" s="89">
        <f t="shared" si="42"/>
        <v>770841.30499999993</v>
      </c>
      <c r="H553" s="89">
        <f t="shared" si="42"/>
        <v>206168.01620000001</v>
      </c>
      <c r="I553" s="89">
        <f t="shared" si="42"/>
        <v>10829.01</v>
      </c>
      <c r="J553" s="89">
        <f t="shared" si="42"/>
        <v>161792.66999999998</v>
      </c>
      <c r="K553" s="89">
        <f t="shared" si="42"/>
        <v>4640163.7606000006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59962.31</v>
      </c>
      <c r="H583" s="18">
        <v>261666.98</v>
      </c>
      <c r="I583" s="87">
        <f t="shared" si="47"/>
        <v>321629.29000000004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426476.4</v>
      </c>
      <c r="I584" s="87">
        <f t="shared" si="47"/>
        <v>426476.4</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24111.81</v>
      </c>
      <c r="I585" s="87">
        <f t="shared" si="47"/>
        <v>24111.81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v>300111.53999999998</v>
      </c>
      <c r="J592" s="18">
        <f>275948.4+14596.16+9567.5+15090.71</f>
        <v>315202.77</v>
      </c>
      <c r="K592" s="104">
        <f t="shared" ref="K592:K598" si="48">SUM(H592:J592)</f>
        <v>615314.31000000006</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v>45986.48</v>
      </c>
      <c r="J593" s="18">
        <f>115636.87+91.8+77.52</f>
        <v>115806.19</v>
      </c>
      <c r="K593" s="104">
        <f t="shared" si="48"/>
        <v>161792.67000000001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31596.28+868.95+222.2+3019.39</f>
        <v>35706.82</v>
      </c>
      <c r="K594" s="104">
        <f t="shared" si="48"/>
        <v>35706.82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24771.25</v>
      </c>
      <c r="K595" s="104">
        <f t="shared" si="48"/>
        <v>24771.25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346098.01999999996</v>
      </c>
      <c r="J599" s="108">
        <f>SUM(J592:J598)</f>
        <v>491487.03</v>
      </c>
      <c r="K599" s="108">
        <f>SUM(K592:K598)</f>
        <v>837585.05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c r="I605" s="18">
        <v>85625.66</v>
      </c>
      <c r="J605" s="18">
        <v>728616.86</v>
      </c>
      <c r="K605" s="104">
        <f>SUM(H605:J605)</f>
        <v>814242.52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85625.66</v>
      </c>
      <c r="J606" s="108">
        <f>SUM(J603:J605)</f>
        <v>728616.86</v>
      </c>
      <c r="K606" s="108">
        <f>SUM(K603:K605)</f>
        <v>814242.52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2804221.43</v>
      </c>
      <c r="H618" s="109">
        <f>SUM(F52)</f>
        <v>2804221.4299999997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101624.36</v>
      </c>
      <c r="H619" s="109">
        <f>SUM(G52)</f>
        <v>101624.36000000002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178969.83000000002</v>
      </c>
      <c r="H620" s="109">
        <f>SUM(H52)</f>
        <v>178969.83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32148</v>
      </c>
      <c r="H621" s="109">
        <f>SUM(I52)</f>
        <v>32148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1021875.97</v>
      </c>
      <c r="H622" s="109">
        <f>SUM(J52)</f>
        <v>1021875.97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2932321.4299999997</v>
      </c>
      <c r="H623" s="109">
        <f>F477</f>
        <v>2932321.429999996</v>
      </c>
      <c r="I623" s="121" t="s">
        <v>101</v>
      </c>
      <c r="J623" s="109">
        <f t="shared" ref="J623:J656" si="50">G623-H623</f>
        <v>3.7252902984619141E-9</v>
      </c>
      <c r="K623" s="109"/>
      <c r="L623" s="109"/>
      <c r="M623" s="8"/>
    </row>
    <row r="624" spans="1:14" s="3" customFormat="1" ht="12.2" customHeight="1" x14ac:dyDescent="0.15">
      <c r="A624" s="97"/>
      <c r="B624" s="105"/>
      <c r="C624" s="119"/>
      <c r="D624" s="119"/>
      <c r="E624" s="119"/>
      <c r="F624" s="119" t="s">
        <v>866</v>
      </c>
      <c r="G624" s="109">
        <f>G51</f>
        <v>189261.64</v>
      </c>
      <c r="H624" s="109">
        <f>G477</f>
        <v>189261.64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278945.06</v>
      </c>
      <c r="H625" s="109">
        <f>H477</f>
        <v>278945.06000000006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32148</v>
      </c>
      <c r="H626" s="109">
        <f>I477</f>
        <v>32148</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403112.83999999997</v>
      </c>
      <c r="H627" s="109">
        <f>J477</f>
        <v>403112.83999999997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23047550.559999999</v>
      </c>
      <c r="H628" s="104">
        <f>SUM(F469)</f>
        <v>23047550.559999999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332703.2</v>
      </c>
      <c r="H629" s="104">
        <f>SUM(G469)</f>
        <v>332703.2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1220832.3</v>
      </c>
      <c r="H630" s="104">
        <f>SUM(H469)</f>
        <v>1220832.3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265759.8</v>
      </c>
      <c r="H632" s="104">
        <f>SUM(J469)</f>
        <v>265759.8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22102023.849999998</v>
      </c>
      <c r="H633" s="104">
        <f>SUM(F473)</f>
        <v>22102023.850000001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1246841.06</v>
      </c>
      <c r="H634" s="104">
        <f>SUM(H473)</f>
        <v>1246841.06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163753.78</v>
      </c>
      <c r="H635" s="104">
        <f>I370</f>
        <v>163753.77999999997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332044.89</v>
      </c>
      <c r="H636" s="104">
        <f>SUM(G473)</f>
        <v>332044.89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70079</v>
      </c>
      <c r="H637" s="104">
        <f>SUM(I473)</f>
        <v>70079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265759.8</v>
      </c>
      <c r="H638" s="164">
        <f>SUM(J469)</f>
        <v>265759.8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182921.59</v>
      </c>
      <c r="H639" s="164">
        <f>SUM(J473)</f>
        <v>182921.59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1021875.97</v>
      </c>
      <c r="H641" s="104">
        <f>SUM(G462)</f>
        <v>1021875.97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1021875.97</v>
      </c>
      <c r="H643" s="104">
        <f>SUM(I462)</f>
        <v>1021875.97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369.41</v>
      </c>
      <c r="H645" s="104">
        <f>H409</f>
        <v>369.41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265390.39</v>
      </c>
      <c r="H646" s="104">
        <f>G409</f>
        <v>265390.39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265759.8</v>
      </c>
      <c r="H647" s="104">
        <f>L409</f>
        <v>265759.8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837585.05</v>
      </c>
      <c r="H648" s="104">
        <f>L209+L227+L245</f>
        <v>837585.05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814242.52</v>
      </c>
      <c r="H649" s="104">
        <f>(J258+J339)-(J256+J337)</f>
        <v>814242.52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346098.02</v>
      </c>
      <c r="H651" s="104">
        <f>I599</f>
        <v>346098.01999999996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491487.02999999997</v>
      </c>
      <c r="H652" s="104">
        <f>J599</f>
        <v>491487.03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265390.39</v>
      </c>
      <c r="H656" s="104">
        <f>K267+K348</f>
        <v>265390.39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0</v>
      </c>
      <c r="G661" s="19">
        <f>(L230+L310+L360)</f>
        <v>7350208.1499999994</v>
      </c>
      <c r="H661" s="19">
        <f>(L248+L329+L361)</f>
        <v>15260145.419999998</v>
      </c>
      <c r="I661" s="19">
        <f>SUM(F661:H661)</f>
        <v>22610353.569999997</v>
      </c>
      <c r="J661" s="13"/>
      <c r="K661" s="13"/>
      <c r="L661" s="13"/>
      <c r="M661" s="9"/>
    </row>
    <row r="662" spans="1:13" s="3" customFormat="1" ht="12.2" customHeight="1" x14ac:dyDescent="0.2">
      <c r="A662" s="1" t="s">
        <v>127</v>
      </c>
      <c r="F662" s="19">
        <f>(L359/IF(SUM(L359:L361)=0,1,SUM(L359:L361))*(SUM(G97:G110)))</f>
        <v>0</v>
      </c>
      <c r="G662" s="19">
        <f>(L360/IF(SUM(L359:L361)=0,1,SUM(L359:L361))*(SUM(G97:G110)))</f>
        <v>12919.394438160756</v>
      </c>
      <c r="H662" s="19">
        <f>(L361/IF(SUM(L359:L361)=0,1,SUM(L359:L361))*(SUM(G97:G110)))</f>
        <v>23622.235561839247</v>
      </c>
      <c r="I662" s="19">
        <f>SUM(F662:H662)</f>
        <v>36541.630000000005</v>
      </c>
      <c r="J662"/>
      <c r="K662" s="13"/>
      <c r="L662" s="13"/>
      <c r="M662" s="8"/>
    </row>
    <row r="663" spans="1:13" s="3" customFormat="1" ht="12.2" customHeight="1" x14ac:dyDescent="0.2">
      <c r="A663" s="1" t="s">
        <v>128</v>
      </c>
      <c r="F663" s="19">
        <f>(L209+L288)-(J209+J288)</f>
        <v>0</v>
      </c>
      <c r="G663" s="19">
        <f>(L227+L307)-(J227+J307)</f>
        <v>346098.02</v>
      </c>
      <c r="H663" s="19">
        <f>(L245+L326)-(J245+J326)</f>
        <v>491487.02999999997</v>
      </c>
      <c r="I663" s="19">
        <f>SUM(F663:H663)</f>
        <v>837585.05</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145587.97</v>
      </c>
      <c r="H664" s="199">
        <f>SUM(H576:H588)+SUM(J603:J605)+L614</f>
        <v>1440872.05</v>
      </c>
      <c r="I664" s="19">
        <f>SUM(F664:H664)</f>
        <v>1586460.02</v>
      </c>
      <c r="J664" s="13"/>
      <c r="K664" s="13"/>
      <c r="L664" s="13"/>
      <c r="M664" s="9"/>
    </row>
    <row r="665" spans="1:13" s="3" customFormat="1" ht="12.2" customHeight="1" x14ac:dyDescent="0.15">
      <c r="A665" s="1" t="s">
        <v>130</v>
      </c>
      <c r="F665" s="19">
        <f>F661-SUM(F662:F664)</f>
        <v>0</v>
      </c>
      <c r="G665" s="19">
        <f>G661-SUM(G662:G664)</f>
        <v>6845602.7655618386</v>
      </c>
      <c r="H665" s="19">
        <f>H661-SUM(H662:H664)</f>
        <v>13304164.10443816</v>
      </c>
      <c r="I665" s="19">
        <f>I661-SUM(I662:I664)</f>
        <v>20149766.869999997</v>
      </c>
      <c r="J665" s="13"/>
      <c r="K665" s="13"/>
      <c r="L665" s="13"/>
      <c r="M665" s="8"/>
    </row>
    <row r="666" spans="1:13" s="3" customFormat="1" ht="12.2" customHeight="1" x14ac:dyDescent="0.25">
      <c r="A666" s="1" t="s">
        <v>131</v>
      </c>
      <c r="F666" s="359">
        <v>0</v>
      </c>
      <c r="G666" s="359">
        <v>379.23</v>
      </c>
      <c r="H666" s="359">
        <v>817.4</v>
      </c>
      <c r="I666" s="19">
        <f>SUM(F666:H666)</f>
        <v>1196.6300000000001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18051.32</v>
      </c>
      <c r="H668" s="19">
        <f>ROUND(H665/H666,2)</f>
        <v>16276.2</v>
      </c>
      <c r="I668" s="19">
        <f>ROUND(I665/I666,2)</f>
        <v>16838.759999999998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-11.22</v>
      </c>
      <c r="I671" s="19">
        <f>SUM(F671:H671)</f>
        <v>-11.22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18051.32</v>
      </c>
      <c r="H673" s="19">
        <f>ROUND((H665+H670)/(H666+H671),2)</f>
        <v>16502.72</v>
      </c>
      <c r="I673" s="19">
        <f>ROUND((I665+I670)/(I666+I671),2)</f>
        <v>16998.14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22" sqref="H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20077.89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256167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256167</v>
      </c>
      <c r="F22" s="346"/>
    </row>
    <row r="23" spans="2:8" x14ac:dyDescent="0.25">
      <c r="B23" s="346"/>
      <c r="C23" s="346"/>
      <c r="D23" s="346"/>
      <c r="E23" s="346"/>
      <c r="F23" s="346"/>
    </row>
    <row r="24" spans="2:8" ht="26.25" customHeight="1" x14ac:dyDescent="0.25">
      <c r="B24" s="346"/>
      <c r="C24" s="348" t="s">
        <v>1661</v>
      </c>
      <c r="D24" s="346"/>
      <c r="E24" s="341">
        <v>97601.279999999999</v>
      </c>
      <c r="F24" s="346"/>
    </row>
    <row r="25" spans="2:8" ht="18" x14ac:dyDescent="0.25">
      <c r="B25" s="346"/>
      <c r="C25" s="349"/>
      <c r="D25" s="346"/>
      <c r="E25" s="346"/>
      <c r="F25" s="346"/>
    </row>
    <row r="26" spans="2:8" ht="27.75" customHeight="1" x14ac:dyDescent="0.25">
      <c r="B26" s="346"/>
      <c r="C26" s="348" t="s">
        <v>1662</v>
      </c>
      <c r="D26" s="346"/>
      <c r="E26" s="341">
        <v>158566.10999999999</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20077.89</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Hollis Brookline Cooperative School District</v>
      </c>
      <c r="C5" s="363"/>
      <c r="D5" s="363"/>
      <c r="E5" s="363"/>
      <c r="F5" s="363"/>
    </row>
    <row r="8" spans="1:9" ht="18" x14ac:dyDescent="0.25">
      <c r="A8" s="317" t="s">
        <v>1576</v>
      </c>
      <c r="F8" s="324" t="s">
        <v>1594</v>
      </c>
    </row>
    <row r="9" spans="1:9" ht="15" x14ac:dyDescent="0.2">
      <c r="A9" s="315" t="s">
        <v>1577</v>
      </c>
      <c r="B9" s="318">
        <f>'DOE25'!G97</f>
        <v>36541.630000000005</v>
      </c>
      <c r="F9" s="315" t="s">
        <v>1590</v>
      </c>
    </row>
    <row r="10" spans="1:9" ht="15" x14ac:dyDescent="0.2">
      <c r="A10" s="315" t="s">
        <v>1578</v>
      </c>
      <c r="B10" s="318">
        <f>'DOE25'!G112-'DOE25'!G97</f>
        <v>6.6600000000034925</v>
      </c>
      <c r="F10" s="315" t="s">
        <v>1591</v>
      </c>
    </row>
    <row r="11" spans="1:9" ht="15" x14ac:dyDescent="0.2">
      <c r="A11" s="315" t="s">
        <v>1579</v>
      </c>
      <c r="B11" s="318">
        <f>'DOE25'!G140</f>
        <v>4281.1499999999996</v>
      </c>
      <c r="F11" s="315" t="s">
        <v>1592</v>
      </c>
    </row>
    <row r="12" spans="1:9" ht="15" x14ac:dyDescent="0.2">
      <c r="A12" s="315" t="s">
        <v>1580</v>
      </c>
      <c r="B12" s="318">
        <f>'DOE25'!G170</f>
        <v>291873.76</v>
      </c>
      <c r="F12" s="315" t="s">
        <v>1593</v>
      </c>
    </row>
    <row r="13" spans="1:9" ht="15" x14ac:dyDescent="0.2">
      <c r="A13" s="315" t="s">
        <v>1581</v>
      </c>
      <c r="B13" s="318">
        <f>'DOE25'!G193-'DOE25'!G180</f>
        <v>0</v>
      </c>
      <c r="F13" s="315" t="s">
        <v>1603</v>
      </c>
    </row>
    <row r="14" spans="1:9" ht="18" x14ac:dyDescent="0.25">
      <c r="A14" s="317" t="s">
        <v>732</v>
      </c>
      <c r="B14" s="319">
        <f>SUM(B9:B13)</f>
        <v>332703.2</v>
      </c>
    </row>
    <row r="16" spans="1:9" ht="18" x14ac:dyDescent="0.25">
      <c r="A16" s="317" t="s">
        <v>786</v>
      </c>
      <c r="F16" s="324" t="s">
        <v>1595</v>
      </c>
    </row>
    <row r="17" spans="1:6" ht="15" x14ac:dyDescent="0.2">
      <c r="A17" s="315" t="s">
        <v>1582</v>
      </c>
      <c r="B17" s="318">
        <f>'DOE25'!L363-'DOE25'!L362</f>
        <v>332044.89</v>
      </c>
      <c r="F17" s="315" t="s">
        <v>1596</v>
      </c>
    </row>
    <row r="18" spans="1:6" ht="15" x14ac:dyDescent="0.2">
      <c r="A18" s="315" t="s">
        <v>1583</v>
      </c>
      <c r="B18" s="328"/>
      <c r="F18" s="324" t="s">
        <v>1620</v>
      </c>
    </row>
    <row r="19" spans="1:6" ht="18" x14ac:dyDescent="0.25">
      <c r="A19" s="317" t="s">
        <v>725</v>
      </c>
      <c r="B19" s="319">
        <f>SUM(B17:B18)</f>
        <v>332044.89</v>
      </c>
    </row>
    <row r="21" spans="1:6" ht="18.75" thickBot="1" x14ac:dyDescent="0.3">
      <c r="A21" s="317" t="s">
        <v>1584</v>
      </c>
    </row>
    <row r="22" spans="1:6" ht="18.75" thickTop="1" x14ac:dyDescent="0.25">
      <c r="A22" s="317" t="s">
        <v>1585</v>
      </c>
      <c r="B22" s="323">
        <f>B14-B19</f>
        <v>658.30999999999767</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188603.33</v>
      </c>
      <c r="F31" s="315" t="s">
        <v>1600</v>
      </c>
    </row>
    <row r="33" spans="1:6" ht="15" x14ac:dyDescent="0.2">
      <c r="A33" s="315" t="s">
        <v>1629</v>
      </c>
      <c r="B33" s="318">
        <f>'DOE25'!G477</f>
        <v>189261.64</v>
      </c>
      <c r="F33" s="315" t="s">
        <v>1601</v>
      </c>
    </row>
    <row r="36" spans="1:6" ht="15" x14ac:dyDescent="0.2">
      <c r="A36" s="315" t="s">
        <v>1587</v>
      </c>
      <c r="B36" s="329">
        <v>26377.88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51" sqref="A5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Hollis Brookline Cooperative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6004869.3299999991</v>
      </c>
      <c r="C9" s="229">
        <f>'DOE25'!G198+'DOE25'!G216+'DOE25'!G234+'DOE25'!G277+'DOE25'!G296+'DOE25'!G315</f>
        <v>2671628.75</v>
      </c>
    </row>
    <row r="10" spans="1:3" x14ac:dyDescent="0.2">
      <c r="A10" t="s">
        <v>775</v>
      </c>
      <c r="B10" s="240">
        <v>5897765.8600000003</v>
      </c>
      <c r="C10" s="240">
        <f>C9*0.98</f>
        <v>2618196.1749999998</v>
      </c>
    </row>
    <row r="11" spans="1:3" x14ac:dyDescent="0.2">
      <c r="A11" t="s">
        <v>776</v>
      </c>
      <c r="B11" s="240"/>
      <c r="C11" s="240"/>
    </row>
    <row r="12" spans="1:3" x14ac:dyDescent="0.2">
      <c r="A12" t="s">
        <v>777</v>
      </c>
      <c r="B12" s="240">
        <v>107103.47</v>
      </c>
      <c r="C12" s="240">
        <f>C9*0.02</f>
        <v>53432.575000000004</v>
      </c>
    </row>
    <row r="13" spans="1:3" x14ac:dyDescent="0.2">
      <c r="A13" t="str">
        <f>IF(B9=B13,IF(C9=C13,"Check Total OK","Check Total Error"),"Check Total Error")</f>
        <v>Check Total OK</v>
      </c>
      <c r="B13" s="231">
        <f>SUM(B10:B12)</f>
        <v>6004869.3300000001</v>
      </c>
      <c r="C13" s="231">
        <f>SUM(C10:C12)</f>
        <v>2671628.75</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2001280.25</v>
      </c>
      <c r="C18" s="229">
        <f>'DOE25'!G199+'DOE25'!G217+'DOE25'!G235+'DOE25'!G278+'DOE25'!G297+'DOE25'!G316</f>
        <v>908352.31</v>
      </c>
    </row>
    <row r="19" spans="1:3" x14ac:dyDescent="0.2">
      <c r="A19" t="s">
        <v>775</v>
      </c>
      <c r="B19" s="240">
        <v>998454.42</v>
      </c>
      <c r="C19" s="240">
        <f>C18*0.5</f>
        <v>454176.15500000003</v>
      </c>
    </row>
    <row r="20" spans="1:3" x14ac:dyDescent="0.2">
      <c r="A20" t="s">
        <v>776</v>
      </c>
      <c r="B20" s="240">
        <v>779244.68</v>
      </c>
      <c r="C20" s="240">
        <f>C18*0.39</f>
        <v>354257.40090000001</v>
      </c>
    </row>
    <row r="21" spans="1:3" x14ac:dyDescent="0.2">
      <c r="A21" t="s">
        <v>777</v>
      </c>
      <c r="B21" s="240">
        <v>223581.15</v>
      </c>
      <c r="C21" s="240">
        <f>C18*0.11</f>
        <v>99918.754100000006</v>
      </c>
    </row>
    <row r="22" spans="1:3" x14ac:dyDescent="0.2">
      <c r="A22" t="str">
        <f>IF(B18=B22,IF(C18=C22,"Check Total OK","Check Total Error"),"Check Total Error")</f>
        <v>Check Total OK</v>
      </c>
      <c r="B22" s="231">
        <f>SUM(B19:B21)</f>
        <v>2001280.25</v>
      </c>
      <c r="C22" s="231">
        <f>SUM(C19:C21)</f>
        <v>908352.31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509123</v>
      </c>
      <c r="C36" s="235">
        <f>'DOE25'!G201+'DOE25'!G219+'DOE25'!G237+'DOE25'!G280+'DOE25'!G299+'DOE25'!G318</f>
        <v>239573.42</v>
      </c>
    </row>
    <row r="37" spans="1:3" x14ac:dyDescent="0.2">
      <c r="A37" t="s">
        <v>775</v>
      </c>
      <c r="B37" s="240">
        <v>305485</v>
      </c>
      <c r="C37" s="240">
        <f>C36*0.6</f>
        <v>143744.052</v>
      </c>
    </row>
    <row r="38" spans="1:3" x14ac:dyDescent="0.2">
      <c r="A38" t="s">
        <v>776</v>
      </c>
      <c r="B38" s="240"/>
      <c r="C38" s="240"/>
    </row>
    <row r="39" spans="1:3" x14ac:dyDescent="0.2">
      <c r="A39" t="s">
        <v>777</v>
      </c>
      <c r="B39" s="240">
        <v>203638</v>
      </c>
      <c r="C39" s="240">
        <f>C36*0.4</f>
        <v>95829.368000000017</v>
      </c>
    </row>
    <row r="40" spans="1:3" x14ac:dyDescent="0.2">
      <c r="A40" t="str">
        <f>IF(B36=B40,IF(C36=C40,"Check Total OK","Check Total Error"),"Check Total Error")</f>
        <v>Check Total OK</v>
      </c>
      <c r="B40" s="231">
        <f>SUM(B37:B39)</f>
        <v>509123</v>
      </c>
      <c r="C40" s="231">
        <f>SUM(C37:C39)</f>
        <v>239573.42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Hollis Brookline Cooperative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13647041.580000002</v>
      </c>
      <c r="D5" s="20">
        <f>SUM('DOE25'!L198:L201)+SUM('DOE25'!L216:L219)+SUM('DOE25'!L234:L237)-F5-G5-H5</f>
        <v>13374115.920000002</v>
      </c>
      <c r="E5" s="243"/>
      <c r="F5" s="244">
        <f>34945.61+75935.95+26105.32+33300</f>
        <v>170286.88</v>
      </c>
      <c r="G5" s="53">
        <f>SUM('DOE25'!J198:J201)+SUM('DOE25'!J216:J219)+SUM('DOE25'!J234:J237)</f>
        <v>93766.99</v>
      </c>
      <c r="H5" s="53">
        <f>SUM('DOE25'!K198:K201)+SUM('DOE25'!K216:K219)+SUM('DOE25'!K234:K237)</f>
        <v>8871.7899999999991</v>
      </c>
      <c r="I5" s="254"/>
    </row>
    <row r="6" spans="1:9" x14ac:dyDescent="0.2">
      <c r="A6" s="32">
        <v>2100</v>
      </c>
      <c r="B6" t="s">
        <v>796</v>
      </c>
      <c r="C6" s="273">
        <f t="shared" si="0"/>
        <v>1876741.92</v>
      </c>
      <c r="D6" s="20">
        <f>'DOE25'!L203+'DOE25'!L221+'DOE25'!L239-F6-G6-H6</f>
        <v>1790662.27</v>
      </c>
      <c r="E6" s="243"/>
      <c r="F6" s="244">
        <f>51228.65+34451</f>
        <v>85679.65</v>
      </c>
      <c r="G6" s="53">
        <f>'DOE25'!J203+'DOE25'!J221+'DOE25'!J239</f>
        <v>0</v>
      </c>
      <c r="H6" s="53">
        <f>'DOE25'!K203+'DOE25'!K221+'DOE25'!K239</f>
        <v>400</v>
      </c>
      <c r="I6" s="254"/>
    </row>
    <row r="7" spans="1:9" x14ac:dyDescent="0.2">
      <c r="A7" s="32">
        <v>2200</v>
      </c>
      <c r="B7" t="s">
        <v>821</v>
      </c>
      <c r="C7" s="273">
        <f t="shared" si="0"/>
        <v>659504.41999999993</v>
      </c>
      <c r="D7" s="20">
        <f>'DOE25'!L204+'DOE25'!L222+'DOE25'!L240-F7-G7-H7</f>
        <v>495007.55999999994</v>
      </c>
      <c r="E7" s="243"/>
      <c r="F7" s="244"/>
      <c r="G7" s="53">
        <f>'DOE25'!J204+'DOE25'!J222+'DOE25'!J240</f>
        <v>164471.85999999999</v>
      </c>
      <c r="H7" s="53">
        <f>'DOE25'!K204+'DOE25'!K222+'DOE25'!K240</f>
        <v>25</v>
      </c>
      <c r="I7" s="254"/>
    </row>
    <row r="8" spans="1:9" x14ac:dyDescent="0.2">
      <c r="A8" s="32">
        <v>2300</v>
      </c>
      <c r="B8" t="s">
        <v>797</v>
      </c>
      <c r="C8" s="273">
        <f t="shared" si="0"/>
        <v>710558.46</v>
      </c>
      <c r="D8" s="243"/>
      <c r="E8" s="20">
        <f>'DOE25'!L205+'DOE25'!L223+'DOE25'!L241-F8-G8-H8-D9-D11</f>
        <v>704896.34</v>
      </c>
      <c r="F8" s="244"/>
      <c r="G8" s="53">
        <f>'DOE25'!J205+'DOE25'!J223+'DOE25'!J241</f>
        <v>0</v>
      </c>
      <c r="H8" s="53">
        <f>'DOE25'!K205+'DOE25'!K223+'DOE25'!K241</f>
        <v>5662.12</v>
      </c>
      <c r="I8" s="254"/>
    </row>
    <row r="9" spans="1:9" ht="14.25" x14ac:dyDescent="0.2">
      <c r="A9" s="32">
        <v>2310</v>
      </c>
      <c r="B9" s="185" t="s">
        <v>888</v>
      </c>
      <c r="C9" s="273">
        <f t="shared" si="0"/>
        <v>72368.100000000006</v>
      </c>
      <c r="D9" s="244">
        <v>72368.100000000006</v>
      </c>
      <c r="E9" s="243"/>
      <c r="F9" s="251"/>
      <c r="G9" s="251"/>
      <c r="H9" s="251"/>
      <c r="I9" s="254"/>
    </row>
    <row r="10" spans="1:9" ht="14.25" x14ac:dyDescent="0.2">
      <c r="A10" s="32">
        <v>2317</v>
      </c>
      <c r="B10" s="185" t="s">
        <v>889</v>
      </c>
      <c r="C10" s="273">
        <f t="shared" si="0"/>
        <v>12000</v>
      </c>
      <c r="D10" s="243"/>
      <c r="E10" s="244">
        <v>12000</v>
      </c>
      <c r="F10" s="251"/>
      <c r="G10" s="251"/>
      <c r="H10" s="251"/>
      <c r="I10" s="254"/>
    </row>
    <row r="11" spans="1:9" ht="14.25" x14ac:dyDescent="0.2">
      <c r="A11" s="32">
        <v>2321</v>
      </c>
      <c r="B11" s="185" t="s">
        <v>890</v>
      </c>
      <c r="C11" s="273">
        <f t="shared" si="0"/>
        <v>213820.33</v>
      </c>
      <c r="D11" s="244">
        <v>213820.33</v>
      </c>
      <c r="E11" s="243"/>
      <c r="F11" s="251"/>
      <c r="G11" s="251"/>
      <c r="H11" s="251"/>
      <c r="I11" s="254"/>
    </row>
    <row r="12" spans="1:9" x14ac:dyDescent="0.2">
      <c r="A12" s="32">
        <v>2400</v>
      </c>
      <c r="B12" t="s">
        <v>711</v>
      </c>
      <c r="C12" s="273">
        <f t="shared" si="0"/>
        <v>1357794.95</v>
      </c>
      <c r="D12" s="20">
        <f>'DOE25'!L206+'DOE25'!L224+'DOE25'!L242-F12-G12-H12</f>
        <v>1307734.3899999999</v>
      </c>
      <c r="E12" s="243"/>
      <c r="F12" s="244">
        <v>34033.56</v>
      </c>
      <c r="G12" s="53">
        <f>'DOE25'!J206+'DOE25'!J224+'DOE25'!J242</f>
        <v>0</v>
      </c>
      <c r="H12" s="53">
        <f>'DOE25'!K206+'DOE25'!K224+'DOE25'!K242</f>
        <v>16027</v>
      </c>
      <c r="I12" s="254"/>
    </row>
    <row r="13" spans="1:9" x14ac:dyDescent="0.2">
      <c r="A13" s="32">
        <v>2500</v>
      </c>
      <c r="B13" t="s">
        <v>798</v>
      </c>
      <c r="C13" s="273">
        <f t="shared" si="0"/>
        <v>124.57999999999998</v>
      </c>
      <c r="D13" s="243"/>
      <c r="E13" s="20">
        <f>'DOE25'!L207+'DOE25'!L225+'DOE25'!L243-F13-G13-H13</f>
        <v>0</v>
      </c>
      <c r="F13" s="244"/>
      <c r="G13" s="53">
        <f>'DOE25'!J207+'DOE25'!J225+'DOE25'!J243</f>
        <v>0</v>
      </c>
      <c r="H13" s="53">
        <f>'DOE25'!K207+'DOE25'!K225+'DOE25'!K243</f>
        <v>124.57999999999998</v>
      </c>
      <c r="I13" s="254"/>
    </row>
    <row r="14" spans="1:9" x14ac:dyDescent="0.2">
      <c r="A14" s="32">
        <v>2600</v>
      </c>
      <c r="B14" t="s">
        <v>819</v>
      </c>
      <c r="C14" s="273">
        <f t="shared" si="0"/>
        <v>1663928.23</v>
      </c>
      <c r="D14" s="20">
        <f>'DOE25'!L208+'DOE25'!L226+'DOE25'!L244-F14-G14-H14</f>
        <v>1218463.5599999998</v>
      </c>
      <c r="E14" s="243"/>
      <c r="F14" s="244">
        <f>123020+47083.88+29688.36</f>
        <v>199792.24</v>
      </c>
      <c r="G14" s="53">
        <f>'DOE25'!J208+'DOE25'!J226+'DOE25'!J244</f>
        <v>5048.3499999999995</v>
      </c>
      <c r="H14" s="53">
        <f>'DOE25'!K208+'DOE25'!K226+'DOE25'!K244</f>
        <v>240624.08</v>
      </c>
      <c r="I14" s="254"/>
    </row>
    <row r="15" spans="1:9" x14ac:dyDescent="0.2">
      <c r="A15" s="32">
        <v>2700</v>
      </c>
      <c r="B15" t="s">
        <v>799</v>
      </c>
      <c r="C15" s="273">
        <f t="shared" si="0"/>
        <v>837585.05</v>
      </c>
      <c r="D15" s="20">
        <f>'DOE25'!L209+'DOE25'!L227+'DOE25'!L245-F15-G15-H15</f>
        <v>98526.300000000047</v>
      </c>
      <c r="E15" s="243"/>
      <c r="F15" s="244">
        <f>690338.75+48720</f>
        <v>739058.75</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597.5</v>
      </c>
      <c r="D22" s="243"/>
      <c r="E22" s="243"/>
      <c r="F22" s="243"/>
      <c r="G22" s="53">
        <f>'DOE25'!L256+'DOE25'!L337</f>
        <v>597.5</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796568.34</v>
      </c>
      <c r="D25" s="243"/>
      <c r="E25" s="243"/>
      <c r="F25" s="253"/>
      <c r="G25" s="251"/>
      <c r="H25" s="251"/>
      <c r="I25" s="252">
        <f>'DOE25'!L261+'DOE25'!L262+'DOE25'!L342+'DOE25'!L343</f>
        <v>796568.34</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198119.94000000003</v>
      </c>
      <c r="D29" s="281">
        <f>'DOE25'!L359+'DOE25'!L360+'DOE25'!L361-'DOE25'!I368-F29-G29-H29</f>
        <v>193398.41000000003</v>
      </c>
      <c r="E29" s="243"/>
      <c r="F29" s="244"/>
      <c r="G29" s="53">
        <f>'DOE25'!J359+'DOE25'!J360+'DOE25'!J361</f>
        <v>4357.03</v>
      </c>
      <c r="H29" s="53">
        <f>'DOE25'!K359+'DOE25'!K360+'DOE25'!K361</f>
        <v>364.5</v>
      </c>
      <c r="I29" s="254"/>
    </row>
    <row r="30" spans="1:9" x14ac:dyDescent="0.2">
      <c r="A30" s="32"/>
      <c r="C30" s="274"/>
      <c r="D30" s="20"/>
      <c r="E30" s="278"/>
      <c r="F30" s="268"/>
      <c r="G30" s="53"/>
      <c r="H30" s="53"/>
      <c r="I30" s="254"/>
    </row>
    <row r="31" spans="1:9" x14ac:dyDescent="0.2">
      <c r="A31" s="32" t="s">
        <v>818</v>
      </c>
      <c r="B31" t="s">
        <v>817</v>
      </c>
      <c r="C31" s="273">
        <f>SUM(D31:I31)</f>
        <v>1238841.0599999998</v>
      </c>
      <c r="D31" s="20">
        <f>'DOE25'!L291+'DOE25'!L310+'DOE25'!L329+'DOE25'!L334+'DOE25'!L335+'DOE25'!L336-F31-G31-H31</f>
        <v>680501.58</v>
      </c>
      <c r="E31" s="243"/>
      <c r="F31" s="244"/>
      <c r="G31" s="53">
        <f>'DOE25'!J291+'DOE25'!J310+'DOE25'!J329+'DOE25'!J334+'DOE25'!J335+'DOE25'!J336</f>
        <v>550955.32000000007</v>
      </c>
      <c r="H31" s="53">
        <f>'DOE25'!K291+'DOE25'!K310+'DOE25'!K329+'DOE25'!K334+'DOE25'!K335+'DOE25'!K336</f>
        <v>7384.16</v>
      </c>
      <c r="I31" s="254"/>
    </row>
    <row r="32" spans="1:9" ht="12" thickBot="1" x14ac:dyDescent="0.25">
      <c r="C32" s="274"/>
      <c r="G32" s="249"/>
      <c r="H32" s="249"/>
      <c r="I32" s="256"/>
    </row>
    <row r="33" spans="1:9" ht="12" thickTop="1" x14ac:dyDescent="0.2">
      <c r="B33" t="s">
        <v>809</v>
      </c>
      <c r="D33" s="245">
        <f t="shared" ref="D33:I33" si="1">SUM(D5:D31)</f>
        <v>19444598.419999998</v>
      </c>
      <c r="E33" s="245">
        <f t="shared" si="1"/>
        <v>716896.34</v>
      </c>
      <c r="F33" s="245">
        <f t="shared" si="1"/>
        <v>1228851.08</v>
      </c>
      <c r="G33" s="245">
        <f t="shared" si="1"/>
        <v>819197.05</v>
      </c>
      <c r="H33" s="245">
        <f t="shared" si="1"/>
        <v>279483.23</v>
      </c>
      <c r="I33" s="245">
        <f t="shared" si="1"/>
        <v>796568.34</v>
      </c>
    </row>
    <row r="35" spans="1:9" ht="12" thickBot="1" x14ac:dyDescent="0.25">
      <c r="B35" s="249" t="s">
        <v>831</v>
      </c>
      <c r="D35" s="250">
        <f>E33</f>
        <v>716896.34</v>
      </c>
      <c r="E35" s="246"/>
      <c r="F35" s="333" t="s">
        <v>1632</v>
      </c>
      <c r="G35" s="334"/>
      <c r="H35" s="334"/>
      <c r="I35" s="334"/>
    </row>
    <row r="36" spans="1:9" ht="12" thickTop="1" x14ac:dyDescent="0.2">
      <c r="B36" t="s">
        <v>810</v>
      </c>
      <c r="D36" s="20">
        <f>D33</f>
        <v>19444598.419999998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M23" sqref="M2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Hollis Brookline Cooperative School District</v>
      </c>
      <c r="B2" s="126">
        <f>'DOE25'!B2</f>
        <v>260</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0</v>
      </c>
      <c r="G4" s="300">
        <f>'DOE25'!L212+'DOE25'!L291</f>
        <v>0</v>
      </c>
      <c r="H4" s="353">
        <f>F4-G4</f>
        <v>0</v>
      </c>
      <c r="I4" s="371" t="str">
        <f>IF(H4=0,"","ISSUES!! Please review page 7 and 11 totals in comparison with total on this page")</f>
        <v/>
      </c>
      <c r="N4"/>
    </row>
    <row r="5" spans="1:18" x14ac:dyDescent="0.2">
      <c r="A5" s="21"/>
      <c r="B5" s="301" t="str">
        <f>IFERROR(VLOOKUP(A5,'School Tables'!$C$3:$D$365,2,FALSE),"")</f>
        <v/>
      </c>
      <c r="C5" s="294" t="str">
        <f>IFERROR(INDEX('School Tables'!$B$3:$B$365,MATCH('School Level Expenditures'!B5,'School Tables'!$D$3:$D$365,0)),"")</f>
        <v/>
      </c>
      <c r="D5" s="291"/>
      <c r="E5" s="291"/>
      <c r="F5" s="304">
        <f>D5+E5</f>
        <v>0</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0</v>
      </c>
      <c r="E21" s="351">
        <f>SUM(E5:E20)</f>
        <v>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7232812.7600000007</v>
      </c>
      <c r="G24" s="300">
        <f>'DOE25'!L230+'DOE25'!L310</f>
        <v>7232812.7599999998</v>
      </c>
      <c r="H24" s="353">
        <f>F24-G24</f>
        <v>0</v>
      </c>
      <c r="I24" s="371" t="str">
        <f>IF(H24=0,"","ISSUES!! Please review page 8 and 12 totals in comparison with total on this page")</f>
        <v/>
      </c>
      <c r="N24"/>
    </row>
    <row r="25" spans="1:14" x14ac:dyDescent="0.2">
      <c r="A25" s="21" t="s">
        <v>1121</v>
      </c>
      <c r="B25" s="301">
        <f>IFERROR(VLOOKUP(A25,'School Tables'!$I$3:$J$80,2,FALSE),"")</f>
        <v>21805</v>
      </c>
      <c r="C25" s="294" t="str">
        <f t="array" ref="C25">IFERROR(INDEX('School Tables'!$H$3:$H$80,MATCH('School Level Expenditures'!B25,'School Tables'!$J$3:$J$80,0)),"")</f>
        <v>Hollis-Brookline Cooperative</v>
      </c>
      <c r="D25" s="291">
        <v>6887966.2300000004</v>
      </c>
      <c r="E25" s="291">
        <v>344846.53</v>
      </c>
      <c r="F25" s="304">
        <f>D25+E25</f>
        <v>7232812.7600000007</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6887966.2300000004</v>
      </c>
      <c r="E33" s="351">
        <f>SUM(E25:E32)</f>
        <v>344846.53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15045495.92</v>
      </c>
      <c r="G36" s="300">
        <f>'DOE25'!L248+'DOE25'!L329</f>
        <v>15045495.919999998</v>
      </c>
      <c r="H36" s="353">
        <f>F36-G36</f>
        <v>0</v>
      </c>
      <c r="I36" s="371" t="str">
        <f>IF(H36=0,"","ISSUES!! Please review page 9 and 13 totals in comparison with total on this page")</f>
        <v/>
      </c>
      <c r="N36"/>
    </row>
    <row r="37" spans="1:14" x14ac:dyDescent="0.2">
      <c r="A37" s="21" t="s">
        <v>1122</v>
      </c>
      <c r="B37" s="301">
        <f>IFERROR(VLOOKUP(A37,'School Tables'!$O$3:$P$118,2,FALSE),"")</f>
        <v>21810</v>
      </c>
      <c r="C37" s="294" t="str">
        <f t="array" ref="C37">IFERROR(INDEX('School Tables'!$N$3:$N$118,MATCH('School Level Expenditures'!B37,'School Tables'!$P$3:$P$118,0)),"")</f>
        <v>Hollis-Brookline Cooperative</v>
      </c>
      <c r="D37" s="291">
        <f>14153686.63+546962.76</f>
        <v>14700649.390000001</v>
      </c>
      <c r="E37" s="291">
        <v>344846.53</v>
      </c>
      <c r="F37" s="304">
        <f t="shared" ref="F37:F42" si="2">D37+E37</f>
        <v>15045495.92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14700649.390000001</v>
      </c>
      <c r="E43" s="352">
        <f>SUM(E37:E42)</f>
        <v>344846.53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 Brookline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2710208.44</v>
      </c>
      <c r="D8" s="95">
        <f>'DOE25'!G9</f>
        <v>21923.95</v>
      </c>
      <c r="E8" s="95">
        <f>'DOE25'!H9</f>
        <v>0.01</v>
      </c>
      <c r="F8" s="95">
        <f>'DOE25'!I9</f>
        <v>32148</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42862.7</v>
      </c>
      <c r="D12" s="95">
        <f>'DOE25'!G13</f>
        <v>70103.72</v>
      </c>
      <c r="E12" s="95">
        <f>'DOE25'!H13</f>
        <v>178969.82</v>
      </c>
      <c r="F12" s="95">
        <f>'DOE25'!I13</f>
        <v>0</v>
      </c>
      <c r="G12" s="95">
        <f>'DOE25'!J13</f>
        <v>1021875.97</v>
      </c>
      <c r="H12" s="124"/>
      <c r="I12" s="124"/>
    </row>
    <row r="13" spans="1:9" x14ac:dyDescent="0.2">
      <c r="A13" s="1" t="s">
        <v>144</v>
      </c>
      <c r="B13" s="6">
        <v>150</v>
      </c>
      <c r="C13" s="95">
        <f>'DOE25'!F14</f>
        <v>861.4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9596.69</v>
      </c>
      <c r="E15" s="95">
        <f>'DOE25'!H16</f>
        <v>0</v>
      </c>
      <c r="F15" s="95">
        <f>'DOE25'!I16</f>
        <v>0</v>
      </c>
      <c r="G15" s="24" t="s">
        <v>288</v>
      </c>
      <c r="H15" s="124"/>
      <c r="I15" s="124"/>
    </row>
    <row r="16" spans="1:9" x14ac:dyDescent="0.2">
      <c r="A16" s="1" t="s">
        <v>147</v>
      </c>
      <c r="B16" s="6">
        <v>180</v>
      </c>
      <c r="C16" s="95">
        <f>'DOE25'!F17</f>
        <v>50288.89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2804221.43</v>
      </c>
      <c r="D18" s="41">
        <f>SUM(D8:D17)</f>
        <v>101624.36</v>
      </c>
      <c r="E18" s="41">
        <f>SUM(E8:E17)</f>
        <v>178969.83000000002</v>
      </c>
      <c r="F18" s="41">
        <f>SUM(F8:F17)</f>
        <v>32148</v>
      </c>
      <c r="G18" s="41">
        <f>SUM(G8:G17)</f>
        <v>1021875.97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-385506.2</v>
      </c>
      <c r="D21" s="95">
        <f>'DOE25'!G22</f>
        <v>-125346.53</v>
      </c>
      <c r="E21" s="95">
        <f>'DOE25'!H22</f>
        <v>-281423.34000000003</v>
      </c>
      <c r="F21" s="95">
        <f>'DOE25'!I22</f>
        <v>0</v>
      </c>
      <c r="G21" s="95">
        <f>'DOE25'!J22</f>
        <v>618763.13</v>
      </c>
      <c r="H21" s="124"/>
      <c r="I21" s="124"/>
    </row>
    <row r="22" spans="1:9" x14ac:dyDescent="0.2">
      <c r="A22" s="1" t="s">
        <v>151</v>
      </c>
      <c r="B22" s="6">
        <v>410</v>
      </c>
      <c r="C22" s="95">
        <f>'DOE25'!F23</f>
        <v>12520.25</v>
      </c>
      <c r="D22" s="95">
        <f>'DOE25'!G23</f>
        <v>0</v>
      </c>
      <c r="E22" s="95">
        <f>'DOE25'!H23</f>
        <v>181176.01</v>
      </c>
      <c r="F22" s="95">
        <f>'DOE25'!I23</f>
        <v>0</v>
      </c>
      <c r="G22" s="95">
        <f>'DOE25'!J23</f>
        <v>0</v>
      </c>
      <c r="H22" s="124"/>
      <c r="I22" s="124"/>
    </row>
    <row r="23" spans="1:9" x14ac:dyDescent="0.2">
      <c r="A23" s="1" t="s">
        <v>152</v>
      </c>
      <c r="B23" s="6">
        <v>420</v>
      </c>
      <c r="C23" s="95">
        <f>'DOE25'!F24</f>
        <v>178101.14</v>
      </c>
      <c r="D23" s="95">
        <f>'DOE25'!G24</f>
        <v>255.99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57729.760000000002</v>
      </c>
      <c r="D27" s="95">
        <f>'DOE25'!G28</f>
        <v>1008.79</v>
      </c>
      <c r="E27" s="95">
        <f>'DOE25'!H28</f>
        <v>272.10000000000002</v>
      </c>
      <c r="F27" s="95">
        <f>'DOE25'!I28</f>
        <v>0</v>
      </c>
      <c r="G27" s="24" t="s">
        <v>288</v>
      </c>
      <c r="H27" s="124"/>
      <c r="I27" s="124"/>
    </row>
    <row r="28" spans="1:9" x14ac:dyDescent="0.2">
      <c r="A28" s="1" t="s">
        <v>157</v>
      </c>
      <c r="B28" s="6">
        <v>470</v>
      </c>
      <c r="C28" s="95">
        <f>'DOE25'!F29</f>
        <v>9055.0499999999993</v>
      </c>
      <c r="D28" s="95">
        <f>'DOE25'!G29</f>
        <v>0</v>
      </c>
      <c r="E28" s="95">
        <f>'DOE25'!H29</f>
        <v>0</v>
      </c>
      <c r="F28" s="95">
        <f>'DOE25'!I29</f>
        <v>0</v>
      </c>
      <c r="G28" s="24" t="s">
        <v>288</v>
      </c>
      <c r="H28" s="124"/>
      <c r="I28" s="124"/>
    </row>
    <row r="29" spans="1:9" x14ac:dyDescent="0.2">
      <c r="A29" s="1" t="s">
        <v>158</v>
      </c>
      <c r="B29" s="6">
        <v>480</v>
      </c>
      <c r="C29" s="95">
        <f>'DOE25'!F30</f>
        <v>0</v>
      </c>
      <c r="D29" s="95">
        <f>'DOE25'!G30</f>
        <v>36444.47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-128099.99999999999</v>
      </c>
      <c r="D31" s="41">
        <f>SUM(D21:D30)</f>
        <v>-87637.28</v>
      </c>
      <c r="E31" s="41">
        <f>SUM(E21:E30)</f>
        <v>-99975.23000000001</v>
      </c>
      <c r="F31" s="41">
        <f>SUM(F21:F30)</f>
        <v>0</v>
      </c>
      <c r="G31" s="41">
        <f>SUM(G21:G30)</f>
        <v>618763.13</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9596.69</v>
      </c>
      <c r="E34" s="95">
        <f>'DOE25'!H35</f>
        <v>0</v>
      </c>
      <c r="F34" s="95">
        <f>'DOE25'!I35</f>
        <v>0</v>
      </c>
      <c r="G34" s="24" t="s">
        <v>288</v>
      </c>
      <c r="H34" s="124"/>
      <c r="I34" s="124"/>
    </row>
    <row r="35" spans="1:9" x14ac:dyDescent="0.2">
      <c r="A35" s="1" t="s">
        <v>850</v>
      </c>
      <c r="B35" s="6">
        <v>752</v>
      </c>
      <c r="C35" s="95">
        <f>'DOE25'!F36</f>
        <v>50288.89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32148</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179664.95</v>
      </c>
      <c r="E42" s="95">
        <f>'DOE25'!H43</f>
        <v>0</v>
      </c>
      <c r="F42" s="95">
        <f>'DOE25'!I43</f>
        <v>0</v>
      </c>
      <c r="G42" s="95">
        <f>'DOE25'!J43</f>
        <v>0</v>
      </c>
      <c r="H42" s="124"/>
      <c r="I42" s="124"/>
    </row>
    <row r="43" spans="1:9" x14ac:dyDescent="0.2">
      <c r="A43" s="1" t="s">
        <v>863</v>
      </c>
      <c r="B43" s="6">
        <v>755</v>
      </c>
      <c r="C43" s="95">
        <f>'DOE25'!F44</f>
        <v>165000</v>
      </c>
      <c r="D43" s="95">
        <f>'DOE25'!G44</f>
        <v>0</v>
      </c>
      <c r="E43" s="95">
        <f>'DOE25'!H44</f>
        <v>0</v>
      </c>
      <c r="F43" s="95">
        <f>'DOE25'!I44</f>
        <v>0</v>
      </c>
      <c r="G43" s="24" t="s">
        <v>288</v>
      </c>
      <c r="H43" s="124"/>
      <c r="I43" s="124"/>
    </row>
    <row r="44" spans="1:9" x14ac:dyDescent="0.2">
      <c r="A44" s="1" t="s">
        <v>864</v>
      </c>
      <c r="B44" s="6">
        <v>753</v>
      </c>
      <c r="C44" s="95">
        <f>'DOE25'!F45</f>
        <v>626393.06999999995</v>
      </c>
      <c r="D44" s="95">
        <f>'DOE25'!G45</f>
        <v>0</v>
      </c>
      <c r="E44" s="95">
        <f>'DOE25'!H45</f>
        <v>0</v>
      </c>
      <c r="F44" s="95">
        <f>'DOE25'!I45</f>
        <v>0</v>
      </c>
      <c r="G44" s="95">
        <f>'DOE25'!J45</f>
        <v>0</v>
      </c>
      <c r="H44" s="124"/>
      <c r="I44" s="124"/>
    </row>
    <row r="45" spans="1:9" x14ac:dyDescent="0.2">
      <c r="A45" s="1" t="s">
        <v>880</v>
      </c>
      <c r="B45" s="6"/>
      <c r="C45" s="95">
        <f>'DOE25'!F46</f>
        <v>180760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278945.06</v>
      </c>
      <c r="F47" s="95">
        <f>'DOE25'!I48</f>
        <v>0</v>
      </c>
      <c r="G47" s="95">
        <f>'DOE25'!J48</f>
        <v>403112.83999999997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1909879.47</v>
      </c>
      <c r="D49" s="24" t="s">
        <v>288</v>
      </c>
      <c r="E49" s="24" t="s">
        <v>288</v>
      </c>
      <c r="F49" s="24" t="s">
        <v>288</v>
      </c>
      <c r="G49" s="24" t="s">
        <v>288</v>
      </c>
      <c r="H49" s="124"/>
      <c r="I49" s="124"/>
    </row>
    <row r="50" spans="1:9" ht="12.75" thickTop="1" thickBot="1" x14ac:dyDescent="0.25">
      <c r="A50" s="38" t="s">
        <v>884</v>
      </c>
      <c r="B50" s="48"/>
      <c r="C50" s="41">
        <f>SUM(C34:C49)</f>
        <v>2932321.4299999997</v>
      </c>
      <c r="D50" s="41">
        <f>SUM(D34:D49)</f>
        <v>189261.64</v>
      </c>
      <c r="E50" s="41">
        <f>SUM(E34:E49)</f>
        <v>278945.06</v>
      </c>
      <c r="F50" s="41">
        <f>SUM(F34:F49)</f>
        <v>32148</v>
      </c>
      <c r="G50" s="41">
        <f>SUM(G34:G49)</f>
        <v>403112.83999999997</v>
      </c>
      <c r="H50" s="124"/>
      <c r="I50" s="124"/>
    </row>
    <row r="51" spans="1:9" ht="12" thickTop="1" x14ac:dyDescent="0.2">
      <c r="A51" s="38" t="s">
        <v>885</v>
      </c>
      <c r="B51" s="2"/>
      <c r="C51" s="41">
        <f>C50+C31</f>
        <v>2804221.4299999997</v>
      </c>
      <c r="D51" s="41">
        <f>D50+D31</f>
        <v>101624.36000000002</v>
      </c>
      <c r="E51" s="41">
        <f>E50+E31</f>
        <v>178969.83</v>
      </c>
      <c r="F51" s="41">
        <f>F50+F31</f>
        <v>32148</v>
      </c>
      <c r="G51" s="41">
        <f>G50+G31</f>
        <v>1021875.97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16027029</v>
      </c>
      <c r="D56" s="95">
        <f>'DOE25'!G60</f>
        <v>0</v>
      </c>
      <c r="E56" s="95">
        <f>'DOE25'!H60</f>
        <v>0</v>
      </c>
      <c r="F56" s="95">
        <f>'DOE25'!I60</f>
        <v>0</v>
      </c>
      <c r="G56" s="95">
        <f>'DOE25'!J60</f>
        <v>0</v>
      </c>
      <c r="H56"/>
      <c r="I56"/>
    </row>
    <row r="57" spans="1:9" x14ac:dyDescent="0.2">
      <c r="A57" s="1" t="s">
        <v>164</v>
      </c>
      <c r="B57" s="6" t="s">
        <v>165</v>
      </c>
      <c r="C57" s="95">
        <f>'DOE25'!F79</f>
        <v>40391.440000000002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4334.0200000000004</v>
      </c>
      <c r="D59" s="95">
        <f>'DOE25'!G96</f>
        <v>6.66</v>
      </c>
      <c r="E59" s="95">
        <f>'DOE25'!H96</f>
        <v>0</v>
      </c>
      <c r="F59" s="95">
        <f>'DOE25'!I96</f>
        <v>0</v>
      </c>
      <c r="G59" s="95">
        <f>'DOE25'!J96</f>
        <v>369.41</v>
      </c>
      <c r="H59"/>
      <c r="I59"/>
    </row>
    <row r="60" spans="1:9" x14ac:dyDescent="0.2">
      <c r="A60" s="1" t="s">
        <v>170</v>
      </c>
      <c r="B60" s="118" t="s">
        <v>171</v>
      </c>
      <c r="C60" s="24" t="s">
        <v>288</v>
      </c>
      <c r="D60" s="95">
        <f>'DOE25'!G97</f>
        <v>36541.630000000005</v>
      </c>
      <c r="E60" s="24" t="s">
        <v>288</v>
      </c>
      <c r="F60" s="24" t="s">
        <v>288</v>
      </c>
      <c r="G60" s="24" t="s">
        <v>288</v>
      </c>
      <c r="H60"/>
      <c r="I60"/>
    </row>
    <row r="61" spans="1:9" ht="12" thickBot="1" x14ac:dyDescent="0.25">
      <c r="A61" s="1" t="s">
        <v>172</v>
      </c>
      <c r="B61" s="118" t="s">
        <v>173</v>
      </c>
      <c r="C61" s="95">
        <f>SUM('DOE25'!F98:F110)</f>
        <v>195197.83</v>
      </c>
      <c r="D61" s="95">
        <f>SUM('DOE25'!G98:G110)</f>
        <v>0</v>
      </c>
      <c r="E61" s="95">
        <f>SUM('DOE25'!H98:H110)</f>
        <v>523139.3</v>
      </c>
      <c r="F61" s="95">
        <f>SUM('DOE25'!I98:I110)</f>
        <v>0</v>
      </c>
      <c r="G61" s="95">
        <f>SUM('DOE25'!J98:J110)</f>
        <v>0</v>
      </c>
      <c r="H61"/>
      <c r="I61"/>
    </row>
    <row r="62" spans="1:9" ht="12.75" thickTop="1" thickBot="1" x14ac:dyDescent="0.25">
      <c r="A62" s="29" t="s">
        <v>174</v>
      </c>
      <c r="B62" s="6"/>
      <c r="C62" s="130">
        <f>SUM(C57:C61)</f>
        <v>239923.28999999998</v>
      </c>
      <c r="D62" s="130">
        <f>SUM(D57:D61)</f>
        <v>36548.290000000008</v>
      </c>
      <c r="E62" s="130">
        <f>SUM(E57:E61)</f>
        <v>523139.3</v>
      </c>
      <c r="F62" s="130">
        <f>SUM(F57:F61)</f>
        <v>0</v>
      </c>
      <c r="G62" s="130">
        <f>SUM(G57:G61)</f>
        <v>369.41</v>
      </c>
      <c r="H62"/>
      <c r="I62"/>
    </row>
    <row r="63" spans="1:9" ht="12" thickTop="1" x14ac:dyDescent="0.2">
      <c r="A63" s="29" t="s">
        <v>175</v>
      </c>
      <c r="B63" s="6"/>
      <c r="C63" s="22">
        <f>C56+C62</f>
        <v>16266952.289999999</v>
      </c>
      <c r="D63" s="22">
        <f>D56+D62</f>
        <v>36548.290000000008</v>
      </c>
      <c r="E63" s="22">
        <f>E56+E62</f>
        <v>523139.3</v>
      </c>
      <c r="F63" s="22">
        <f>F56+F62</f>
        <v>0</v>
      </c>
      <c r="G63" s="22">
        <f>G56+G62</f>
        <v>369.41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3941647.15</v>
      </c>
      <c r="D66" s="24" t="s">
        <v>288</v>
      </c>
      <c r="E66" s="24" t="s">
        <v>288</v>
      </c>
      <c r="F66" s="24" t="s">
        <v>288</v>
      </c>
      <c r="G66" s="24" t="s">
        <v>288</v>
      </c>
      <c r="H66"/>
      <c r="I66"/>
    </row>
    <row r="67" spans="1:9" x14ac:dyDescent="0.2">
      <c r="A67" s="1" t="s">
        <v>770</v>
      </c>
      <c r="B67" s="6">
        <v>3112</v>
      </c>
      <c r="C67" s="95">
        <f>'DOE25'!F118</f>
        <v>2048927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5990574.1500000004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199361.95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476185.45</v>
      </c>
      <c r="D75" s="24" t="s">
        <v>288</v>
      </c>
      <c r="E75" s="24" t="s">
        <v>288</v>
      </c>
      <c r="F75" s="24" t="s">
        <v>288</v>
      </c>
      <c r="G75" s="24" t="s">
        <v>288</v>
      </c>
      <c r="H75"/>
      <c r="I75"/>
    </row>
    <row r="76" spans="1:9" x14ac:dyDescent="0.2">
      <c r="A76" s="1" t="s">
        <v>257</v>
      </c>
      <c r="B76" s="6" t="s">
        <v>179</v>
      </c>
      <c r="C76" s="95">
        <f>SUM('DOE25'!F127:F130)</f>
        <v>2818.38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4281.1499999999996</v>
      </c>
      <c r="E77" s="95">
        <f>SUM('DOE25'!H131:H135)</f>
        <v>71283.520000000004</v>
      </c>
      <c r="F77" s="95">
        <f>SUM('DOE25'!I131:I135)</f>
        <v>0</v>
      </c>
      <c r="G77" s="95">
        <f>SUM('DOE25'!J131:J135)</f>
        <v>0</v>
      </c>
      <c r="H77"/>
      <c r="I77"/>
    </row>
    <row r="78" spans="1:9" ht="12.75" thickTop="1" thickBot="1" x14ac:dyDescent="0.25">
      <c r="A78" s="29" t="s">
        <v>259</v>
      </c>
      <c r="B78" s="6"/>
      <c r="C78" s="130">
        <f>SUM(C72:C77)</f>
        <v>678365.78</v>
      </c>
      <c r="D78" s="130">
        <f>SUM(D72:D77)</f>
        <v>4281.1499999999996</v>
      </c>
      <c r="E78" s="130">
        <f>SUM(E72:E77)</f>
        <v>71283.520000000004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6668939.9300000006</v>
      </c>
      <c r="D81" s="130">
        <f>SUM(D79:D80)+D78+D70</f>
        <v>4281.1499999999996</v>
      </c>
      <c r="E81" s="130">
        <f>SUM(E79:E80)+E78+E70</f>
        <v>71283.520000000004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26377.88</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107059.02</v>
      </c>
      <c r="D88" s="331">
        <f>SUM('DOE25'!G153:G162)</f>
        <v>265495.88</v>
      </c>
      <c r="E88" s="331">
        <f>SUM('DOE25'!H153:H162)</f>
        <v>626409.4800000001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107059.02</v>
      </c>
      <c r="D91" s="131">
        <f>SUM(D85:D90)</f>
        <v>291873.76</v>
      </c>
      <c r="E91" s="131">
        <f>SUM(E85:E90)</f>
        <v>626409.4800000001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265390.39</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4599.32</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4599.32</v>
      </c>
      <c r="D103" s="86">
        <f>SUM(D93:D102)</f>
        <v>0</v>
      </c>
      <c r="E103" s="86">
        <f>SUM(E93:E102)</f>
        <v>0</v>
      </c>
      <c r="F103" s="86">
        <f>SUM(F93:F102)</f>
        <v>0</v>
      </c>
      <c r="G103" s="86">
        <f>SUM(G93:G102)</f>
        <v>265390.39</v>
      </c>
    </row>
    <row r="104" spans="1:7" ht="12.75" thickTop="1" thickBot="1" x14ac:dyDescent="0.25">
      <c r="A104" s="33" t="s">
        <v>761</v>
      </c>
      <c r="C104" s="86">
        <f>C63+C81+C91+C103</f>
        <v>23047550.559999999</v>
      </c>
      <c r="D104" s="86">
        <f>D63+D81+D91+D103</f>
        <v>332703.2</v>
      </c>
      <c r="E104" s="86">
        <f>E63+E81+E91+E103</f>
        <v>1220832.3</v>
      </c>
      <c r="F104" s="86">
        <f>F63+F81+F91+F103</f>
        <v>0</v>
      </c>
      <c r="G104" s="86">
        <f>G63+G81+G103</f>
        <v>265759.8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8650858.120000001</v>
      </c>
      <c r="D109" s="24" t="s">
        <v>288</v>
      </c>
      <c r="E109" s="95">
        <f>('DOE25'!L277)+('DOE25'!L296)+('DOE25'!L315)</f>
        <v>264226.14</v>
      </c>
      <c r="F109" s="24" t="s">
        <v>288</v>
      </c>
      <c r="G109" s="24" t="s">
        <v>288</v>
      </c>
    </row>
    <row r="110" spans="1:7" x14ac:dyDescent="0.2">
      <c r="A110" t="s">
        <v>198</v>
      </c>
      <c r="B110" s="32" t="s">
        <v>199</v>
      </c>
      <c r="C110" s="95">
        <f>('DOE25'!L199)+('DOE25'!L217)+('DOE25'!L235)</f>
        <v>4086513.7299999995</v>
      </c>
      <c r="D110" s="24" t="s">
        <v>288</v>
      </c>
      <c r="E110" s="95">
        <f>('DOE25'!L278)+('DOE25'!L297)+('DOE25'!L316)</f>
        <v>98170.48000000001</v>
      </c>
      <c r="F110" s="24" t="s">
        <v>288</v>
      </c>
      <c r="G110" s="24" t="s">
        <v>288</v>
      </c>
    </row>
    <row r="111" spans="1:7" x14ac:dyDescent="0.2">
      <c r="A111" t="s">
        <v>200</v>
      </c>
      <c r="B111" s="32" t="s">
        <v>165</v>
      </c>
      <c r="C111" s="95">
        <f>('DOE25'!L200)+('DOE25'!L218)+('DOE25'!L236)</f>
        <v>33613.11</v>
      </c>
      <c r="D111" s="24" t="s">
        <v>288</v>
      </c>
      <c r="E111" s="95">
        <f>('DOE25'!L279)+('DOE25'!L298)+('DOE25'!L317)</f>
        <v>0</v>
      </c>
      <c r="F111" s="24" t="s">
        <v>288</v>
      </c>
      <c r="G111" s="24" t="s">
        <v>288</v>
      </c>
    </row>
    <row r="112" spans="1:7" x14ac:dyDescent="0.2">
      <c r="A112" t="s">
        <v>201</v>
      </c>
      <c r="B112" s="32" t="s">
        <v>167</v>
      </c>
      <c r="C112" s="95">
        <f>('DOE25'!L201)+('DOE25'!L219)+('DOE25'!L237)</f>
        <v>876056.62000000011</v>
      </c>
      <c r="D112" s="24" t="s">
        <v>288</v>
      </c>
      <c r="E112" s="95">
        <f>+('DOE25'!L280)+('DOE25'!L299)+('DOE25'!L318)</f>
        <v>548881.1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13647041.580000002</v>
      </c>
      <c r="D115" s="86">
        <f>SUM(D109:D114)</f>
        <v>0</v>
      </c>
      <c r="E115" s="86">
        <f>SUM(E109:E114)</f>
        <v>911277.72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1876741.92</v>
      </c>
      <c r="D118" s="24" t="s">
        <v>288</v>
      </c>
      <c r="E118" s="95">
        <f>+('DOE25'!L282)+('DOE25'!L301)+('DOE25'!L320)</f>
        <v>4106.8999999999996</v>
      </c>
      <c r="F118" s="24" t="s">
        <v>288</v>
      </c>
      <c r="G118" s="24" t="s">
        <v>288</v>
      </c>
    </row>
    <row r="119" spans="1:7" x14ac:dyDescent="0.2">
      <c r="A119" t="s">
        <v>208</v>
      </c>
      <c r="B119" s="32" t="s">
        <v>209</v>
      </c>
      <c r="C119" s="95">
        <f>('DOE25'!L204)+('DOE25'!L222)+('DOE25'!L240)</f>
        <v>659504.41999999993</v>
      </c>
      <c r="D119" s="24" t="s">
        <v>288</v>
      </c>
      <c r="E119" s="95">
        <f>+('DOE25'!L283)+('DOE25'!L302)+('DOE25'!L321)</f>
        <v>93776.86</v>
      </c>
      <c r="F119" s="24" t="s">
        <v>288</v>
      </c>
      <c r="G119" s="24" t="s">
        <v>288</v>
      </c>
    </row>
    <row r="120" spans="1:7" x14ac:dyDescent="0.2">
      <c r="A120" t="s">
        <v>210</v>
      </c>
      <c r="B120" s="32" t="s">
        <v>211</v>
      </c>
      <c r="C120" s="95">
        <f>('DOE25'!L205)+('DOE25'!L223)+('DOE25'!L241)</f>
        <v>996746.8899999999</v>
      </c>
      <c r="D120" s="24" t="s">
        <v>288</v>
      </c>
      <c r="E120" s="95">
        <f>+('DOE25'!L284)+('DOE25'!L303)+('DOE25'!L322)</f>
        <v>0</v>
      </c>
      <c r="F120" s="24" t="s">
        <v>288</v>
      </c>
      <c r="G120" s="24" t="s">
        <v>288</v>
      </c>
    </row>
    <row r="121" spans="1:7" x14ac:dyDescent="0.2">
      <c r="A121" t="s">
        <v>212</v>
      </c>
      <c r="B121" s="32" t="s">
        <v>213</v>
      </c>
      <c r="C121" s="95">
        <f>('DOE25'!L206)+('DOE25'!L224)+('DOE25'!L242)</f>
        <v>1357794.95</v>
      </c>
      <c r="D121" s="24" t="s">
        <v>288</v>
      </c>
      <c r="E121" s="95">
        <f>+('DOE25'!L285)+('DOE25'!L304)+('DOE25'!L323)</f>
        <v>0</v>
      </c>
      <c r="F121" s="24" t="s">
        <v>288</v>
      </c>
      <c r="G121" s="24" t="s">
        <v>288</v>
      </c>
    </row>
    <row r="122" spans="1:7" x14ac:dyDescent="0.2">
      <c r="A122" t="s">
        <v>214</v>
      </c>
      <c r="B122" s="32" t="s">
        <v>215</v>
      </c>
      <c r="C122" s="95">
        <f>('DOE25'!L207)+('DOE25'!L225)+('DOE25'!L243)</f>
        <v>124.57999999999998</v>
      </c>
      <c r="D122" s="24" t="s">
        <v>288</v>
      </c>
      <c r="E122" s="95">
        <f>+('DOE25'!L286)+('DOE25'!L305)+('DOE25'!L324)</f>
        <v>0</v>
      </c>
      <c r="F122" s="24" t="s">
        <v>288</v>
      </c>
      <c r="G122" s="24" t="s">
        <v>288</v>
      </c>
    </row>
    <row r="123" spans="1:7" x14ac:dyDescent="0.2">
      <c r="A123" t="s">
        <v>216</v>
      </c>
      <c r="B123" s="32" t="s">
        <v>217</v>
      </c>
      <c r="C123" s="95">
        <f>('DOE25'!L208)+('DOE25'!L226)+('DOE25'!L244)</f>
        <v>1663928.23</v>
      </c>
      <c r="D123" s="24" t="s">
        <v>288</v>
      </c>
      <c r="E123" s="95">
        <f>+('DOE25'!L287)+('DOE25'!L306)+('DOE25'!L325)</f>
        <v>229679.58</v>
      </c>
      <c r="F123" s="24" t="s">
        <v>288</v>
      </c>
      <c r="G123" s="24" t="s">
        <v>288</v>
      </c>
    </row>
    <row r="124" spans="1:7" x14ac:dyDescent="0.2">
      <c r="A124" t="s">
        <v>218</v>
      </c>
      <c r="B124" s="32" t="s">
        <v>219</v>
      </c>
      <c r="C124" s="95">
        <f>('DOE25'!L209)+('DOE25'!L227)+('DOE25'!L245+'DOE25'!L255)</f>
        <v>837585.05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332044.89</v>
      </c>
      <c r="E127" s="24" t="s">
        <v>288</v>
      </c>
      <c r="F127" s="24" t="s">
        <v>288</v>
      </c>
      <c r="G127" s="24" t="s">
        <v>288</v>
      </c>
    </row>
    <row r="128" spans="1:7" ht="12.75" thickTop="1" thickBot="1" x14ac:dyDescent="0.25">
      <c r="A128" s="33" t="s">
        <v>226</v>
      </c>
      <c r="C128" s="86">
        <f>SUM(C118:C127)</f>
        <v>7392426.04</v>
      </c>
      <c r="D128" s="86">
        <f>SUM(D118:D127)</f>
        <v>332044.89</v>
      </c>
      <c r="E128" s="86">
        <f>SUM(E118:E127)</f>
        <v>327563.33999999997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597.5</v>
      </c>
      <c r="D130" s="24" t="s">
        <v>288</v>
      </c>
      <c r="E130" s="129">
        <f>'DOE25'!L337</f>
        <v>0</v>
      </c>
      <c r="F130" s="129">
        <f>SUM('DOE25'!L375:'DOE25'!L381)</f>
        <v>70079</v>
      </c>
      <c r="G130" s="24" t="s">
        <v>288</v>
      </c>
    </row>
    <row r="131" spans="1:7" x14ac:dyDescent="0.2">
      <c r="A131" t="s">
        <v>229</v>
      </c>
      <c r="B131" s="32">
        <v>5110</v>
      </c>
      <c r="C131" s="95">
        <f>'DOE25'!L261</f>
        <v>681217.61</v>
      </c>
      <c r="D131" s="24" t="s">
        <v>288</v>
      </c>
      <c r="E131" s="129">
        <f>'DOE25'!L342</f>
        <v>0</v>
      </c>
      <c r="F131" s="24" t="s">
        <v>288</v>
      </c>
      <c r="G131" s="24" t="s">
        <v>288</v>
      </c>
    </row>
    <row r="132" spans="1:7" x14ac:dyDescent="0.2">
      <c r="A132" t="s">
        <v>230</v>
      </c>
      <c r="B132" s="32">
        <v>5120</v>
      </c>
      <c r="C132" s="95">
        <f>'DOE25'!L262</f>
        <v>115350.73000000001</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8000</v>
      </c>
      <c r="F134" s="95">
        <f>'DOE25'!K382</f>
        <v>0</v>
      </c>
      <c r="G134" s="95">
        <f>'DOE25'!K435</f>
        <v>7125</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80.06</v>
      </c>
      <c r="D138" s="24" t="s">
        <v>288</v>
      </c>
      <c r="E138" s="24" t="s">
        <v>288</v>
      </c>
      <c r="F138" s="24" t="s">
        <v>288</v>
      </c>
      <c r="G138" s="24" t="s">
        <v>288</v>
      </c>
    </row>
    <row r="139" spans="1:7" x14ac:dyDescent="0.2">
      <c r="A139" t="s">
        <v>239</v>
      </c>
      <c r="B139" s="32">
        <v>5252</v>
      </c>
      <c r="C139" s="95">
        <f>'DOE25'!L402</f>
        <v>265679.74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-369.40999999997439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1062556.2300000002</v>
      </c>
      <c r="D144" s="141">
        <f>SUM(D130:D143)</f>
        <v>0</v>
      </c>
      <c r="E144" s="141">
        <f>SUM(E130:E143)</f>
        <v>8000</v>
      </c>
      <c r="F144" s="141">
        <f>SUM(F130:F143)</f>
        <v>70079</v>
      </c>
      <c r="G144" s="141">
        <f>SUM(G130:G143)</f>
        <v>7125</v>
      </c>
    </row>
    <row r="145" spans="1:9" ht="12.75" thickTop="1" thickBot="1" x14ac:dyDescent="0.25">
      <c r="A145" s="33" t="s">
        <v>244</v>
      </c>
      <c r="C145" s="86">
        <f>(C115+C128+C144)</f>
        <v>22102023.850000001</v>
      </c>
      <c r="D145" s="86">
        <f>(D115+D128+D144)</f>
        <v>332044.89</v>
      </c>
      <c r="E145" s="86">
        <f>(E115+E128+E144)</f>
        <v>1246841.06</v>
      </c>
      <c r="F145" s="86">
        <f>(F115+F128+F144)</f>
        <v>70079</v>
      </c>
      <c r="G145" s="86">
        <f>(G115+G128+G144)</f>
        <v>7125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8/2004</v>
      </c>
      <c r="C152" s="152" t="str">
        <f>'DOE25'!G492</f>
        <v>7/2020</v>
      </c>
      <c r="D152" s="152">
        <f>'DOE25'!H492</f>
        <v>0</v>
      </c>
      <c r="E152" s="152">
        <f>'DOE25'!I492</f>
        <v>0</v>
      </c>
      <c r="F152" s="152">
        <f>'DOE25'!J492</f>
        <v>0</v>
      </c>
      <c r="G152" s="24" t="s">
        <v>288</v>
      </c>
    </row>
    <row r="153" spans="1:9" x14ac:dyDescent="0.2">
      <c r="A153" s="136" t="s">
        <v>29</v>
      </c>
      <c r="B153" s="152" t="str">
        <f>'DOE25'!F493</f>
        <v>8/2024</v>
      </c>
      <c r="C153" s="152" t="str">
        <f>'DOE25'!G493</f>
        <v>8/2028</v>
      </c>
      <c r="D153" s="152">
        <f>'DOE25'!H493</f>
        <v>0</v>
      </c>
      <c r="E153" s="152">
        <f>'DOE25'!I493</f>
        <v>0</v>
      </c>
      <c r="F153" s="152">
        <f>'DOE25'!J493</f>
        <v>0</v>
      </c>
      <c r="G153" s="24" t="s">
        <v>288</v>
      </c>
    </row>
    <row r="154" spans="1:9" x14ac:dyDescent="0.2">
      <c r="A154" s="136" t="s">
        <v>30</v>
      </c>
      <c r="B154" s="137">
        <f>'DOE25'!F494</f>
        <v>7703400</v>
      </c>
      <c r="C154" s="137">
        <f>'DOE25'!G494</f>
        <v>1553374.28</v>
      </c>
      <c r="D154" s="137">
        <f>'DOE25'!H494</f>
        <v>0</v>
      </c>
      <c r="E154" s="137">
        <f>'DOE25'!I494</f>
        <v>0</v>
      </c>
      <c r="F154" s="137">
        <f>'DOE25'!J494</f>
        <v>0</v>
      </c>
      <c r="G154" s="24" t="s">
        <v>288</v>
      </c>
    </row>
    <row r="155" spans="1:9" x14ac:dyDescent="0.2">
      <c r="A155" s="136" t="s">
        <v>31</v>
      </c>
      <c r="B155" s="137">
        <f>'DOE25'!F495</f>
        <v>4.54</v>
      </c>
      <c r="C155" s="137">
        <f>'DOE25'!G495</f>
        <v>2</v>
      </c>
      <c r="D155" s="137">
        <f>'DOE25'!H495</f>
        <v>0</v>
      </c>
      <c r="E155" s="137">
        <f>'DOE25'!I495</f>
        <v>0</v>
      </c>
      <c r="F155" s="137">
        <f>'DOE25'!J495</f>
        <v>0</v>
      </c>
      <c r="G155" s="24" t="s">
        <v>288</v>
      </c>
    </row>
    <row r="156" spans="1:9" x14ac:dyDescent="0.2">
      <c r="A156" s="22" t="s">
        <v>32</v>
      </c>
      <c r="B156" s="137">
        <f>'DOE25'!F496</f>
        <v>2685000</v>
      </c>
      <c r="C156" s="137">
        <f>'DOE25'!G496</f>
        <v>1369679.02</v>
      </c>
      <c r="D156" s="137">
        <f>'DOE25'!H496</f>
        <v>0</v>
      </c>
      <c r="E156" s="137">
        <f>'DOE25'!I496</f>
        <v>0</v>
      </c>
      <c r="F156" s="137">
        <f>'DOE25'!J496</f>
        <v>0</v>
      </c>
      <c r="G156" s="138">
        <f>SUM(B156:F156)</f>
        <v>4054679.02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485000</v>
      </c>
      <c r="C158" s="137">
        <f>'DOE25'!G498</f>
        <v>183695.26</v>
      </c>
      <c r="D158" s="137">
        <f>'DOE25'!H498</f>
        <v>0</v>
      </c>
      <c r="E158" s="137">
        <f>'DOE25'!I498</f>
        <v>0</v>
      </c>
      <c r="F158" s="137">
        <f>'DOE25'!J498</f>
        <v>0</v>
      </c>
      <c r="G158" s="138">
        <f t="shared" si="0"/>
        <v>668695.26</v>
      </c>
    </row>
    <row r="159" spans="1:9" x14ac:dyDescent="0.2">
      <c r="A159" s="22" t="s">
        <v>35</v>
      </c>
      <c r="B159" s="137">
        <f>'DOE25'!F499</f>
        <v>2200000</v>
      </c>
      <c r="C159" s="137">
        <f>'DOE25'!G499</f>
        <v>1185983.76</v>
      </c>
      <c r="D159" s="137">
        <f>'DOE25'!H499</f>
        <v>0</v>
      </c>
      <c r="E159" s="137">
        <f>'DOE25'!I499</f>
        <v>0</v>
      </c>
      <c r="F159" s="137">
        <f>'DOE25'!J499</f>
        <v>0</v>
      </c>
      <c r="G159" s="138">
        <f t="shared" si="0"/>
        <v>3385983.76</v>
      </c>
    </row>
    <row r="160" spans="1:9" x14ac:dyDescent="0.2">
      <c r="A160" s="22" t="s">
        <v>36</v>
      </c>
      <c r="B160" s="137">
        <f>'DOE25'!F500</f>
        <v>185124</v>
      </c>
      <c r="C160" s="137">
        <f>'DOE25'!G500</f>
        <v>126117.84</v>
      </c>
      <c r="D160" s="137">
        <f>'DOE25'!H500</f>
        <v>0</v>
      </c>
      <c r="E160" s="137">
        <f>'DOE25'!I500</f>
        <v>0</v>
      </c>
      <c r="F160" s="137">
        <f>'DOE25'!J500</f>
        <v>0</v>
      </c>
      <c r="G160" s="138">
        <f t="shared" si="0"/>
        <v>311241.83999999997</v>
      </c>
    </row>
    <row r="161" spans="1:7" x14ac:dyDescent="0.2">
      <c r="A161" s="22" t="s">
        <v>37</v>
      </c>
      <c r="B161" s="137">
        <f>'DOE25'!F501</f>
        <v>2385124</v>
      </c>
      <c r="C161" s="137">
        <f>'DOE25'!G501</f>
        <v>1312101.6000000001</v>
      </c>
      <c r="D161" s="137">
        <f>'DOE25'!H501</f>
        <v>0</v>
      </c>
      <c r="E161" s="137">
        <f>'DOE25'!I501</f>
        <v>0</v>
      </c>
      <c r="F161" s="137">
        <f>'DOE25'!J501</f>
        <v>0</v>
      </c>
      <c r="G161" s="138">
        <f t="shared" si="0"/>
        <v>3697225.6</v>
      </c>
    </row>
    <row r="162" spans="1:7" x14ac:dyDescent="0.2">
      <c r="A162" s="22" t="s">
        <v>38</v>
      </c>
      <c r="B162" s="137">
        <f>'DOE25'!F502</f>
        <v>510000</v>
      </c>
      <c r="C162" s="137">
        <f>'DOE25'!G502</f>
        <v>159581.03</v>
      </c>
      <c r="D162" s="137">
        <f>'DOE25'!H502</f>
        <v>0</v>
      </c>
      <c r="E162" s="137">
        <f>'DOE25'!I502</f>
        <v>0</v>
      </c>
      <c r="F162" s="137">
        <f>'DOE25'!J502</f>
        <v>0</v>
      </c>
      <c r="G162" s="138">
        <f t="shared" si="0"/>
        <v>669581.03</v>
      </c>
    </row>
    <row r="163" spans="1:7" x14ac:dyDescent="0.2">
      <c r="A163" s="22" t="s">
        <v>39</v>
      </c>
      <c r="B163" s="137">
        <f>'DOE25'!F503</f>
        <v>85697</v>
      </c>
      <c r="C163" s="137">
        <f>'DOE25'!G503</f>
        <v>27393.58</v>
      </c>
      <c r="D163" s="137">
        <f>'DOE25'!H503</f>
        <v>0</v>
      </c>
      <c r="E163" s="137">
        <f>'DOE25'!I503</f>
        <v>0</v>
      </c>
      <c r="F163" s="137">
        <f>'DOE25'!J503</f>
        <v>0</v>
      </c>
      <c r="G163" s="138">
        <f t="shared" si="0"/>
        <v>113090.58</v>
      </c>
    </row>
    <row r="164" spans="1:7" x14ac:dyDescent="0.2">
      <c r="A164" s="22" t="s">
        <v>246</v>
      </c>
      <c r="B164" s="137">
        <f>'DOE25'!F504</f>
        <v>595697</v>
      </c>
      <c r="C164" s="137">
        <f>'DOE25'!G504</f>
        <v>186974.61</v>
      </c>
      <c r="D164" s="137">
        <f>'DOE25'!H504</f>
        <v>0</v>
      </c>
      <c r="E164" s="137">
        <f>'DOE25'!I504</f>
        <v>0</v>
      </c>
      <c r="F164" s="137">
        <f>'DOE25'!J504</f>
        <v>0</v>
      </c>
      <c r="G164" s="138">
        <f t="shared" si="0"/>
        <v>782671.61</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Hollis Brookline Cooperative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18051</v>
      </c>
    </row>
    <row r="6" spans="1:4" x14ac:dyDescent="0.2">
      <c r="B6" t="s">
        <v>62</v>
      </c>
      <c r="C6" s="179">
        <f>IF('DOE25'!H666+'DOE25'!H671=0,0,ROUND('DOE25'!H673,0))</f>
        <v>16503</v>
      </c>
    </row>
    <row r="7" spans="1:4" x14ac:dyDescent="0.2">
      <c r="B7" t="s">
        <v>701</v>
      </c>
      <c r="C7" s="179">
        <f>IF('DOE25'!I666+'DOE25'!I671=0,0,ROUND('DOE25'!I673,0))</f>
        <v>16998</v>
      </c>
    </row>
    <row r="9" spans="1:4" x14ac:dyDescent="0.2">
      <c r="A9" s="187" t="s">
        <v>94</v>
      </c>
      <c r="B9" s="188" t="s">
        <v>1671</v>
      </c>
      <c r="C9" s="181" t="s">
        <v>720</v>
      </c>
      <c r="D9" s="181" t="s">
        <v>721</v>
      </c>
    </row>
    <row r="10" spans="1:4" x14ac:dyDescent="0.2">
      <c r="A10">
        <v>1100</v>
      </c>
      <c r="B10" t="s">
        <v>702</v>
      </c>
      <c r="C10" s="179">
        <f>ROUND('DOE25'!L198+'DOE25'!L216+'DOE25'!L234+'DOE25'!L277+'DOE25'!L296+'DOE25'!L315,0)</f>
        <v>8915084</v>
      </c>
      <c r="D10" s="182">
        <f>ROUND((C10/$C$28)*100,1)</f>
        <v>39.299999999999997</v>
      </c>
    </row>
    <row r="11" spans="1:4" x14ac:dyDescent="0.2">
      <c r="A11">
        <v>1200</v>
      </c>
      <c r="B11" t="s">
        <v>703</v>
      </c>
      <c r="C11" s="179">
        <f>ROUND('DOE25'!L199+'DOE25'!L217+'DOE25'!L235+'DOE25'!L278+'DOE25'!L297+'DOE25'!L316,0)</f>
        <v>4184684</v>
      </c>
      <c r="D11" s="182">
        <f>ROUND((C11/$C$28)*100,1)</f>
        <v>18.399999999999999</v>
      </c>
    </row>
    <row r="12" spans="1:4" x14ac:dyDescent="0.2">
      <c r="A12">
        <v>1300</v>
      </c>
      <c r="B12" t="s">
        <v>704</v>
      </c>
      <c r="C12" s="179">
        <f>ROUND('DOE25'!L200+'DOE25'!L218+'DOE25'!L236+'DOE25'!L279+'DOE25'!L298+'DOE25'!L317,0)</f>
        <v>33613</v>
      </c>
      <c r="D12" s="182">
        <f>ROUND((C12/$C$28)*100,1)</f>
        <v>0.1</v>
      </c>
    </row>
    <row r="13" spans="1:4" x14ac:dyDescent="0.2">
      <c r="A13">
        <v>1400</v>
      </c>
      <c r="B13" t="s">
        <v>705</v>
      </c>
      <c r="C13" s="179">
        <f>ROUND('DOE25'!L201+'DOE25'!L219+'DOE25'!L237+'DOE25'!L280+'DOE25'!L299+'DOE25'!L318,0)</f>
        <v>1424938</v>
      </c>
      <c r="D13" s="182">
        <f>ROUND((C13/$C$28)*100,1)</f>
        <v>6.3</v>
      </c>
    </row>
    <row r="14" spans="1:4" x14ac:dyDescent="0.2">
      <c r="D14" s="182"/>
    </row>
    <row r="15" spans="1:4" x14ac:dyDescent="0.2">
      <c r="A15">
        <v>2100</v>
      </c>
      <c r="B15" t="s">
        <v>706</v>
      </c>
      <c r="C15" s="179">
        <f>ROUND('DOE25'!L203+'DOE25'!L221+'DOE25'!L239+'DOE25'!L282+'DOE25'!L301+'DOE25'!L320,0)</f>
        <v>1880849</v>
      </c>
      <c r="D15" s="182">
        <f t="shared" ref="D15:D27" si="0">ROUND((C15/$C$28)*100,1)</f>
        <v>8.3000000000000007</v>
      </c>
    </row>
    <row r="16" spans="1:4" x14ac:dyDescent="0.2">
      <c r="A16">
        <v>2200</v>
      </c>
      <c r="B16" t="s">
        <v>707</v>
      </c>
      <c r="C16" s="179">
        <f>ROUND('DOE25'!L204+'DOE25'!L222+'DOE25'!L240+'DOE25'!L283+'DOE25'!L302+'DOE25'!L321,0)</f>
        <v>753281</v>
      </c>
      <c r="D16" s="182">
        <f t="shared" si="0"/>
        <v>3.3</v>
      </c>
    </row>
    <row r="17" spans="1:4" x14ac:dyDescent="0.2">
      <c r="A17" s="183" t="s">
        <v>723</v>
      </c>
      <c r="B17" t="s">
        <v>738</v>
      </c>
      <c r="C17" s="179">
        <f>ROUND('DOE25'!L205+'DOE25'!L210+'DOE25'!L223+'DOE25'!L228+'DOE25'!L241+'DOE25'!L246+'DOE25'!L284+'DOE25'!L289+'DOE25'!L303+'DOE25'!L308+'DOE25'!L322+'DOE25'!L327,0)</f>
        <v>996747</v>
      </c>
      <c r="D17" s="182">
        <f t="shared" si="0"/>
        <v>4.4000000000000004</v>
      </c>
    </row>
    <row r="18" spans="1:4" x14ac:dyDescent="0.2">
      <c r="A18">
        <v>2400</v>
      </c>
      <c r="B18" t="s">
        <v>711</v>
      </c>
      <c r="C18" s="179">
        <f>ROUND('DOE25'!L206+'DOE25'!L224+'DOE25'!L242+'DOE25'!L285+'DOE25'!L304+'DOE25'!L323,0)</f>
        <v>1357795</v>
      </c>
      <c r="D18" s="182">
        <f t="shared" si="0"/>
        <v>6</v>
      </c>
    </row>
    <row r="19" spans="1:4" x14ac:dyDescent="0.2">
      <c r="A19">
        <v>2500</v>
      </c>
      <c r="B19" t="s">
        <v>708</v>
      </c>
      <c r="C19" s="179">
        <f>ROUND('DOE25'!L207+'DOE25'!L225+'DOE25'!L243+'DOE25'!L286+'DOE25'!L305+'DOE25'!L324,0)</f>
        <v>125</v>
      </c>
      <c r="D19" s="182">
        <f t="shared" si="0"/>
        <v>0</v>
      </c>
    </row>
    <row r="20" spans="1:4" x14ac:dyDescent="0.2">
      <c r="A20">
        <v>2600</v>
      </c>
      <c r="B20" t="s">
        <v>709</v>
      </c>
      <c r="C20" s="179">
        <f>ROUND('DOE25'!L208+'DOE25'!L226+'DOE25'!L244+'DOE25'!L287+'DOE25'!L306+'DOE25'!L325,0)</f>
        <v>1893608</v>
      </c>
      <c r="D20" s="182">
        <f t="shared" si="0"/>
        <v>8.3000000000000007</v>
      </c>
    </row>
    <row r="21" spans="1:4" x14ac:dyDescent="0.2">
      <c r="A21">
        <v>2700</v>
      </c>
      <c r="B21" t="s">
        <v>710</v>
      </c>
      <c r="C21" s="179">
        <f>ROUND('DOE25'!L209+'DOE25'!L227+'DOE25'!L245+'DOE25'!L288+'DOE25'!L307+'DOE25'!L326,0)</f>
        <v>837585</v>
      </c>
      <c r="D21" s="182">
        <f t="shared" si="0"/>
        <v>3.7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115351</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295503.37</v>
      </c>
      <c r="D27" s="182">
        <f t="shared" si="0"/>
        <v>1.3</v>
      </c>
    </row>
    <row r="28" spans="1:4" x14ac:dyDescent="0.2">
      <c r="B28" s="187" t="s">
        <v>719</v>
      </c>
      <c r="C28" s="180">
        <f>SUM(C10:C27)</f>
        <v>22689163.370000001</v>
      </c>
      <c r="D28" s="184">
        <f>ROUND(SUM(D10:D27),0)</f>
        <v>100</v>
      </c>
    </row>
    <row r="29" spans="1:4" x14ac:dyDescent="0.2">
      <c r="A29">
        <v>4000</v>
      </c>
      <c r="B29" t="s">
        <v>724</v>
      </c>
      <c r="C29" s="179">
        <f>ROUND('DOE25'!L256+'DOE25'!L337+'DOE25'!L375+'DOE25'!L376+'DOE25'!L377+'DOE25'!L378+'DOE25'!L379+'DOE25'!L380+'DOE25'!L381,0)</f>
        <v>70677</v>
      </c>
    </row>
    <row r="30" spans="1:4" x14ac:dyDescent="0.2">
      <c r="B30" s="187" t="s">
        <v>725</v>
      </c>
      <c r="C30" s="180">
        <f>SUM(C28:C29)</f>
        <v>22759840.370000001</v>
      </c>
    </row>
    <row r="31" spans="1:4" x14ac:dyDescent="0.2">
      <c r="B31" s="33"/>
      <c r="C31" s="180"/>
    </row>
    <row r="32" spans="1:4" x14ac:dyDescent="0.2">
      <c r="A32">
        <v>5100</v>
      </c>
      <c r="B32" s="33" t="s">
        <v>726</v>
      </c>
      <c r="C32" s="180">
        <f>ROUND('DOE25'!L261+'DOE25'!L342,0)</f>
        <v>681218</v>
      </c>
    </row>
    <row r="34" spans="1:4" x14ac:dyDescent="0.2">
      <c r="A34" s="187" t="s">
        <v>94</v>
      </c>
      <c r="B34" s="188" t="s">
        <v>1667</v>
      </c>
      <c r="C34" s="181" t="s">
        <v>720</v>
      </c>
      <c r="D34" s="181" t="s">
        <v>721</v>
      </c>
    </row>
    <row r="35" spans="1:4" x14ac:dyDescent="0.2">
      <c r="A35">
        <v>1100</v>
      </c>
      <c r="B35" s="185" t="s">
        <v>727</v>
      </c>
      <c r="C35" s="179">
        <f>ROUND('DOE25'!F60+'DOE25'!G60+'DOE25'!H60+'DOE25'!I60+'DOE25'!J60,0)</f>
        <v>16027029</v>
      </c>
      <c r="D35" s="182">
        <f t="shared" ref="D35:D40" si="1">ROUND((C35/$C$41)*100,1)</f>
        <v>65.3</v>
      </c>
    </row>
    <row r="36" spans="1:4" x14ac:dyDescent="0.2">
      <c r="B36" s="185" t="s">
        <v>739</v>
      </c>
      <c r="C36" s="179">
        <f>SUM('DOE25'!F112:J112)-SUM('DOE25'!G97:G110)+('DOE25'!F175+'DOE25'!F176+'DOE25'!I175+'DOE25'!I176)-C35</f>
        <v>763438.66000000015</v>
      </c>
      <c r="D36" s="182">
        <f t="shared" si="1"/>
        <v>3.1</v>
      </c>
    </row>
    <row r="37" spans="1:4" x14ac:dyDescent="0.2">
      <c r="A37" s="183" t="s">
        <v>835</v>
      </c>
      <c r="B37" s="185" t="s">
        <v>728</v>
      </c>
      <c r="C37" s="179">
        <f>ROUND('DOE25'!F117+'DOE25'!F118,0)</f>
        <v>5990574</v>
      </c>
      <c r="D37" s="182">
        <f t="shared" si="1"/>
        <v>24.4</v>
      </c>
    </row>
    <row r="38" spans="1:4" x14ac:dyDescent="0.2">
      <c r="A38" s="183" t="s">
        <v>734</v>
      </c>
      <c r="B38" s="185" t="s">
        <v>729</v>
      </c>
      <c r="C38" s="179">
        <f>ROUND(SUM('DOE25'!F140:J140)-SUM('DOE25'!F117:F119),0)</f>
        <v>753930</v>
      </c>
      <c r="D38" s="182">
        <f t="shared" si="1"/>
        <v>3.1</v>
      </c>
    </row>
    <row r="39" spans="1:4" x14ac:dyDescent="0.2">
      <c r="A39">
        <v>4000</v>
      </c>
      <c r="B39" s="185" t="s">
        <v>730</v>
      </c>
      <c r="C39" s="179">
        <f>ROUND('DOE25'!F170+'DOE25'!G170+'DOE25'!H170+'DOE25'!I170,0)</f>
        <v>1025342</v>
      </c>
      <c r="D39" s="182">
        <f t="shared" si="1"/>
        <v>4.2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24560313.66</v>
      </c>
      <c r="D41" s="184">
        <f>SUM(D35:D40)</f>
        <v>100.09999999999998</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Hollis Brookline Cooperative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19</v>
      </c>
      <c r="B4" s="219">
        <v>1</v>
      </c>
      <c r="C4" s="375" t="s">
        <v>1673</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t="s">
        <v>1674</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v>20</v>
      </c>
      <c r="B6" s="219"/>
      <c r="C6" s="375" t="s">
        <v>1677</v>
      </c>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2021-09-07T13:29:47Z</cp:lastPrinted>
  <dcterms:created xsi:type="dcterms:W3CDTF">1997-12-04T19:04:30Z</dcterms:created>
  <dcterms:modified xsi:type="dcterms:W3CDTF">2021-12-14T18:08:30Z</dcterms:modified>
</cp:coreProperties>
</file>