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38400" windowHeight="1785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23" i="1" l="1"/>
  <c r="F110" i="1" l="1"/>
  <c r="I277" i="1" l="1"/>
  <c r="I296" i="1"/>
  <c r="E24" i="17"/>
  <c r="F613" i="1" l="1"/>
  <c r="G612" i="1"/>
  <c r="F612" i="1"/>
  <c r="J523" i="1" l="1"/>
  <c r="J522" i="1"/>
  <c r="I523" i="1"/>
  <c r="I522" i="1"/>
  <c r="G523" i="1"/>
  <c r="G522" i="1"/>
  <c r="F523" i="1"/>
  <c r="F522" i="1"/>
  <c r="H523" i="1"/>
  <c r="H522" i="1"/>
  <c r="I528" i="1"/>
  <c r="I527" i="1"/>
  <c r="H529" i="1"/>
  <c r="H528" i="1"/>
  <c r="H527" i="1"/>
  <c r="G529" i="1"/>
  <c r="G528" i="1"/>
  <c r="G527" i="1"/>
  <c r="F529" i="1"/>
  <c r="F528" i="1"/>
  <c r="F527" i="1"/>
  <c r="I529" i="1"/>
  <c r="H524" i="1"/>
  <c r="G534" i="1"/>
  <c r="F534" i="1"/>
  <c r="H532" i="1"/>
  <c r="K522" i="1"/>
  <c r="J534" i="1"/>
  <c r="J533" i="1"/>
  <c r="J532" i="1"/>
  <c r="I534" i="1"/>
  <c r="I533" i="1"/>
  <c r="H534" i="1"/>
  <c r="H533" i="1"/>
  <c r="E26" i="17"/>
  <c r="E22" i="17"/>
  <c r="H155" i="1"/>
  <c r="H605" i="1" l="1"/>
  <c r="I605" i="1"/>
  <c r="H239" i="1"/>
  <c r="H245" i="1"/>
  <c r="H228" i="1"/>
  <c r="H227" i="1"/>
  <c r="H582" i="1" l="1"/>
  <c r="H583" i="1"/>
  <c r="G583" i="1"/>
  <c r="H563" i="1"/>
  <c r="G569" i="1"/>
  <c r="F569" i="1"/>
  <c r="K568" i="1"/>
  <c r="I568" i="1"/>
  <c r="H159" i="1"/>
  <c r="G297" i="1"/>
  <c r="H308" i="1"/>
  <c r="J306" i="1"/>
  <c r="I306" i="1"/>
  <c r="H306" i="1"/>
  <c r="H301" i="1"/>
  <c r="J296" i="1"/>
  <c r="G296" i="1"/>
  <c r="F296" i="1"/>
  <c r="G302" i="1"/>
  <c r="F302" i="1"/>
  <c r="I297" i="1"/>
  <c r="H297" i="1"/>
  <c r="F297" i="1"/>
  <c r="K305" i="1"/>
  <c r="H302" i="1"/>
  <c r="H296" i="1"/>
  <c r="I301" i="1"/>
  <c r="H289" i="1"/>
  <c r="J287" i="1"/>
  <c r="I287" i="1"/>
  <c r="H287" i="1"/>
  <c r="H282" i="1"/>
  <c r="J277" i="1"/>
  <c r="G277" i="1"/>
  <c r="F277" i="1"/>
  <c r="G283" i="1"/>
  <c r="F283" i="1"/>
  <c r="I278" i="1"/>
  <c r="H278" i="1"/>
  <c r="G278" i="1"/>
  <c r="F278" i="1"/>
  <c r="K286" i="1"/>
  <c r="H277" i="1"/>
  <c r="I282" i="1"/>
  <c r="K283" i="1"/>
  <c r="H283" i="1"/>
  <c r="J228" i="1"/>
  <c r="I228" i="1"/>
  <c r="F235" i="1"/>
  <c r="G235" i="1"/>
  <c r="G234" i="1"/>
  <c r="F234" i="1"/>
  <c r="G228" i="1"/>
  <c r="F228" i="1"/>
  <c r="I226" i="1"/>
  <c r="H226" i="1"/>
  <c r="G226" i="1"/>
  <c r="F226" i="1"/>
  <c r="H224" i="1"/>
  <c r="H223" i="1"/>
  <c r="K223" i="1"/>
  <c r="I223" i="1"/>
  <c r="G223" i="1"/>
  <c r="F223" i="1"/>
  <c r="G222" i="1"/>
  <c r="F222" i="1"/>
  <c r="H222" i="1"/>
  <c r="H221" i="1"/>
  <c r="G221" i="1"/>
  <c r="F221" i="1"/>
  <c r="I221" i="1"/>
  <c r="G217" i="1"/>
  <c r="J217" i="1"/>
  <c r="I217" i="1"/>
  <c r="H217" i="1"/>
  <c r="F217" i="1"/>
  <c r="G216" i="1"/>
  <c r="F216" i="1"/>
  <c r="J210" i="1"/>
  <c r="I210" i="1"/>
  <c r="H210" i="1"/>
  <c r="G210" i="1"/>
  <c r="F210" i="1"/>
  <c r="H209" i="1"/>
  <c r="I208" i="1"/>
  <c r="H208" i="1"/>
  <c r="G208" i="1"/>
  <c r="F208" i="1"/>
  <c r="H206" i="1"/>
  <c r="H205" i="1"/>
  <c r="K205" i="1"/>
  <c r="I205" i="1"/>
  <c r="G205" i="1"/>
  <c r="F205" i="1"/>
  <c r="G204" i="1"/>
  <c r="F204" i="1"/>
  <c r="H204" i="1"/>
  <c r="H203" i="1"/>
  <c r="G203" i="1"/>
  <c r="F203" i="1"/>
  <c r="I203" i="1"/>
  <c r="G199" i="1"/>
  <c r="J199" i="1"/>
  <c r="I199" i="1"/>
  <c r="H199" i="1"/>
  <c r="F199" i="1"/>
  <c r="G198" i="1"/>
  <c r="F198" i="1"/>
  <c r="G360" i="1" l="1"/>
  <c r="G359" i="1"/>
  <c r="F360" i="1"/>
  <c r="F359" i="1"/>
  <c r="H360" i="1"/>
  <c r="H359" i="1"/>
  <c r="G158" i="1"/>
  <c r="J208" i="1" l="1"/>
  <c r="K206" i="1"/>
  <c r="J206" i="1"/>
  <c r="I206" i="1"/>
  <c r="G206" i="1"/>
  <c r="F206" i="1"/>
  <c r="K204" i="1"/>
  <c r="I204" i="1"/>
  <c r="J203" i="1"/>
  <c r="I201" i="1"/>
  <c r="G201" i="1"/>
  <c r="F201" i="1"/>
  <c r="K199" i="1"/>
  <c r="I198" i="1"/>
  <c r="H198" i="1"/>
  <c r="J226" i="1"/>
  <c r="K224" i="1"/>
  <c r="J224" i="1"/>
  <c r="I224" i="1"/>
  <c r="G224" i="1"/>
  <c r="F224" i="1"/>
  <c r="K222" i="1"/>
  <c r="J222" i="1"/>
  <c r="I222" i="1"/>
  <c r="J221" i="1"/>
  <c r="I219" i="1"/>
  <c r="K219" i="1"/>
  <c r="J219" i="1"/>
  <c r="H219" i="1"/>
  <c r="G219" i="1"/>
  <c r="F219" i="1"/>
  <c r="H216" i="1"/>
  <c r="I216" i="1"/>
  <c r="J216" i="1"/>
  <c r="H235" i="1"/>
  <c r="H234" i="1"/>
  <c r="G132" i="1" l="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L284" i="1"/>
  <c r="L285" i="1"/>
  <c r="L286" i="1"/>
  <c r="L287" i="1"/>
  <c r="E123" i="2" s="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G655" i="1"/>
  <c r="H655" i="1"/>
  <c r="H656" i="1"/>
  <c r="J656" i="1" s="1"/>
  <c r="G62" i="2"/>
  <c r="I170" i="1"/>
  <c r="G553" i="1" l="1"/>
  <c r="G477" i="1"/>
  <c r="H624" i="1" s="1"/>
  <c r="J624" i="1" s="1"/>
  <c r="H409" i="1"/>
  <c r="H645" i="1" s="1"/>
  <c r="G409" i="1"/>
  <c r="H646" i="1" s="1"/>
  <c r="G646" i="1"/>
  <c r="H477" i="1"/>
  <c r="H625" i="1" s="1"/>
  <c r="E119" i="2"/>
  <c r="G339" i="1"/>
  <c r="G353" i="1" s="1"/>
  <c r="K353" i="1"/>
  <c r="H663" i="1"/>
  <c r="C125" i="2"/>
  <c r="G662" i="1"/>
  <c r="J258" i="1"/>
  <c r="C119" i="2"/>
  <c r="C13" i="10"/>
  <c r="C110" i="2"/>
  <c r="C121" i="2"/>
  <c r="C112" i="2"/>
  <c r="A40" i="12"/>
  <c r="D6" i="13"/>
  <c r="C6" i="13"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B33" i="16" l="1"/>
  <c r="C141" i="2"/>
  <c r="C144" i="2" s="1"/>
  <c r="H194" i="1"/>
  <c r="G630" i="1" s="1"/>
  <c r="J630" i="1" s="1"/>
  <c r="E128" i="2"/>
  <c r="E145" i="2" s="1"/>
  <c r="H649" i="1"/>
  <c r="F661" i="1"/>
  <c r="F665" i="1" s="1"/>
  <c r="F668" i="1" s="1"/>
  <c r="G24" i="14"/>
  <c r="H24" i="14" s="1"/>
  <c r="I24" i="14" s="1"/>
  <c r="J272" i="1"/>
  <c r="H661" i="1"/>
  <c r="H665" i="1" s="1"/>
  <c r="H668" i="1" s="1"/>
  <c r="C81" i="2"/>
  <c r="F194" i="1"/>
  <c r="G628" i="1" s="1"/>
  <c r="J628" i="1" s="1"/>
  <c r="E51" i="2"/>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<sst xmlns="http://schemas.openxmlformats.org/spreadsheetml/2006/main" count="5577" uniqueCount="1675">
  <si>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</si>
  <si>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</si>
  <si>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</si>
  <si>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</si>
  <si>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</si>
  <si>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</si>
  <si>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</si>
  <si>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</si>
  <si>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</si>
  <si>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</si>
  <si>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</si>
  <si>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</si>
  <si>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</si>
  <si>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</si>
  <si>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</si>
  <si>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</si>
  <si>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</si>
  <si>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</si>
  <si>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</si>
  <si>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</si>
  <si>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</si>
  <si>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</si>
  <si>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</si>
  <si>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</si>
  <si>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</si>
  <si>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</si>
  <si>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</si>
  <si>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</si>
  <si>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</si>
  <si>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</si>
  <si>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</si>
  <si>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</si>
  <si>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</si>
  <si>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</si>
  <si>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</si>
  <si>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</si>
  <si>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</si>
  <si>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</si>
  <si>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</si>
  <si>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</si>
  <si>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</si>
  <si>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</si>
  <si>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</si>
  <si>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</si>
  <si>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</si>
  <si>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</si>
  <si>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</si>
  <si>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</si>
  <si>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</si>
  <si>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</si>
  <si>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</si>
  <si>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</si>
  <si>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</si>
  <si>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</si>
  <si>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</si>
  <si>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</si>
  <si>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</si>
  <si>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</si>
  <si>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</si>
  <si>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</si>
  <si>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</si>
  <si>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</si>
  <si>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</si>
  <si>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</si>
  <si>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</si>
  <si>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</si>
  <si>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</si>
  <si>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</si>
  <si>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</si>
  <si>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</si>
  <si>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</si>
  <si>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</si>
  <si>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</si>
  <si>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</si>
  <si>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</si>
  <si>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</si>
  <si>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</si>
  <si>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</si>
  <si>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</si>
  <si>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</si>
  <si>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</si>
  <si>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</si>
  <si>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</si>
  <si>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</si>
  <si>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</si>
  <si>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</si>
  <si>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</si>
  <si>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</si>
  <si>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</si>
  <si>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</si>
  <si>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</si>
  <si>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</si>
  <si>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</si>
  <si>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</si>
  <si>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</si>
  <si>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</si>
  <si>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</si>
  <si>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</si>
  <si>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</si>
  <si>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</si>
  <si>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</si>
  <si>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</si>
  <si>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</si>
  <si>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</si>
  <si>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</si>
  <si>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</si>
  <si>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</si>
  <si>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</si>
  <si>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</si>
  <si>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</si>
  <si>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</si>
  <si>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</si>
  <si>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</si>
  <si>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</si>
  <si>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</si>
  <si>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</si>
  <si>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</si>
  <si>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</si>
  <si>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</si>
  <si>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</si>
  <si>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</si>
  <si>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</si>
  <si>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</si>
  <si>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</si>
  <si>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</si>
  <si>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</si>
  <si>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</si>
  <si>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</si>
  <si>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</si>
  <si>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</si>
  <si>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</si>
  <si>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</si>
  <si>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</si>
  <si>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</si>
  <si>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</si>
  <si>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</si>
  <si>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</si>
  <si>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</si>
  <si>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</si>
  <si>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</si>
  <si>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</si>
  <si>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</si>
  <si>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</si>
  <si>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</si>
  <si>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</si>
  <si>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</si>
  <si>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</si>
  <si>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</si>
  <si>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</si>
  <si>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</si>
  <si>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</si>
  <si>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</si>
  <si>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</si>
  <si>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</si>
  <si>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</si>
  <si>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</si>
  <si>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</si>
  <si>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</si>
  <si>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</si>
  <si>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</si>
  <si>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</si>
  <si>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</si>
  <si>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</si>
  <si>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</si>
  <si>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</si>
  <si>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</si>
  <si>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</si>
  <si>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</si>
  <si>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</si>
  <si>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</si>
  <si>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</si>
  <si>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</si>
  <si>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</si>
  <si>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</si>
  <si>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</si>
  <si>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</si>
  <si>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</si>
  <si>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</si>
  <si>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</si>
  <si>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</si>
  <si>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</si>
  <si>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</si>
  <si>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</si>
  <si>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</si>
  <si>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</si>
  <si>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</si>
  <si>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</si>
  <si>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</si>
  <si>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</si>
  <si>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</si>
  <si>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</si>
  <si>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</si>
  <si>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</si>
  <si>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</si>
  <si>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</si>
  <si>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</si>
  <si>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</si>
  <si>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</si>
  <si>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</si>
  <si>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</si>
  <si>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</si>
  <si>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</si>
  <si>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</si>
  <si>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</si>
  <si>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</si>
  <si>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</si>
  <si>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</si>
  <si>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</si>
  <si>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</si>
  <si>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</si>
  <si>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</si>
  <si>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</si>
  <si>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</si>
  <si>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</si>
  <si>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</si>
  <si>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</si>
  <si>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</si>
  <si>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</si>
  <si>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</si>
  <si>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</si>
  <si>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</si>
  <si>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</si>
  <si>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</si>
  <si>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</si>
  <si>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</si>
  <si>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</si>
  <si>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</si>
  <si>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</si>
  <si>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</si>
  <si>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</si>
  <si>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</si>
  <si>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</si>
  <si>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</si>
  <si>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</si>
  <si>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</si>
  <si>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</si>
  <si>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</si>
  <si>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</si>
  <si>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</si>
  <si>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</si>
  <si>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</si>
  <si>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</si>
  <si>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</si>
  <si>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</si>
  <si>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</si>
  <si>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</si>
  <si>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</si>
  <si>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</si>
  <si>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</si>
  <si>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</si>
  <si>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</si>
  <si>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</si>
  <si>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</si>
  <si>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</si>
  <si>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</si>
  <si>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</si>
  <si>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</si>
  <si>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</si>
  <si>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</si>
  <si>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</si>
  <si>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</si>
  <si>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</si>
  <si>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</si>
  <si>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</si>
  <si>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</si>
  <si>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</si>
  <si>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</si>
  <si>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</si>
  <si>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</si>
  <si>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</si>
  <si>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</si>
  <si>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</si>
  <si>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</si>
  <si>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</si>
  <si>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</si>
  <si>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</si>
  <si>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</si>
  <si>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</si>
  <si>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</si>
  <si>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</si>
  <si>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</si>
  <si>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</si>
  <si>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</si>
  <si>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</si>
  <si>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</si>
  <si>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</si>
  <si>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</si>
  <si>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</si>
  <si>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</si>
  <si>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</si>
  <si>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</si>
  <si>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</si>
  <si>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</si>
  <si>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</si>
  <si>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</si>
  <si>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</si>
  <si>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</si>
  <si>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</si>
  <si>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</si>
  <si>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</si>
  <si>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</si>
  <si>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</si>
  <si>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</si>
  <si>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</si>
  <si>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</si>
  <si>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</si>
  <si>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</si>
  <si>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</si>
  <si>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</si>
  <si>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</si>
  <si>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</si>
  <si>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</si>
  <si>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</si>
  <si>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</si>
  <si>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</si>
  <si>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</si>
  <si>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</si>
  <si>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</si>
  <si>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</si>
  <si>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</si>
  <si>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</si>
  <si>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</si>
  <si>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</si>
  <si>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</si>
  <si>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</si>
  <si>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</si>
  <si>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</si>
  <si>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</si>
  <si>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</si>
  <si>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</si>
  <si>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</si>
  <si>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</si>
  <si>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</si>
  <si>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</si>
  <si>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</si>
  <si>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</si>
  <si>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</si>
  <si>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</si>
  <si>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</si>
  <si>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</si>
  <si>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</si>
  <si>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</si>
  <si>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</si>
  <si>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</si>
  <si>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</si>
  <si>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</si>
  <si>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</si>
  <si>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</si>
  <si>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</si>
  <si>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</si>
  <si>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</si>
  <si>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</si>
  <si>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</si>
  <si>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</si>
  <si>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</si>
  <si>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</si>
  <si>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</si>
  <si>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</si>
  <si>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</si>
  <si>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</si>
  <si>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</si>
  <si>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</si>
  <si>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</si>
  <si>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</si>
  <si>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</si>
  <si>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</si>
  <si>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</si>
  <si>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</si>
  <si>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</si>
  <si>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</si>
  <si>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</si>
  <si>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</si>
  <si>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</si>
  <si>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</si>
  <si>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</si>
  <si>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</si>
  <si>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</si>
  <si>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</si>
  <si>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</si>
  <si>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</si>
  <si>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</si>
  <si>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</si>
  <si>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</si>
  <si>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</si>
  <si>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</si>
  <si>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</si>
  <si>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</si>
  <si>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</si>
  <si>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</si>
  <si>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</si>
  <si>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</si>
  <si>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</si>
  <si>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</si>
  <si>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</si>
  <si>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</si>
  <si>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</si>
  <si>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</si>
  <si>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</si>
  <si>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</si>
  <si>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</si>
  <si>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</si>
  <si>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</si>
  <si>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</si>
  <si>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</si>
  <si>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</si>
  <si>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</si>
  <si>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</si>
  <si>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</si>
  <si>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</si>
  <si>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</si>
  <si>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</si>
  <si>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</si>
  <si>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</si>
  <si>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</si>
  <si>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</si>
  <si>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</si>
  <si>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</si>
  <si>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</si>
  <si>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</si>
  <si>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</si>
  <si>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</si>
  <si>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</si>
  <si>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</si>
  <si>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</si>
  <si>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</si>
  <si>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</si>
  <si>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</si>
  <si>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</si>
  <si>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</si>
  <si>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</si>
  <si>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</si>
  <si>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</si>
  <si>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</si>
  <si>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</si>
  <si>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</si>
  <si>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</si>
  <si>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</si>
  <si>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</si>
  <si>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</si>
  <si>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</si>
  <si>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</si>
  <si>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</si>
  <si>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</si>
  <si>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</si>
  <si>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</si>
  <si>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</si>
  <si>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</si>
  <si>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</si>
  <si>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</si>
  <si>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</si>
  <si>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</si>
  <si>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</si>
  <si>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</si>
  <si>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</si>
  <si>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</si>
  <si>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</si>
  <si>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</si>
  <si>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</si>
  <si>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</si>
  <si>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</si>
  <si>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</si>
  <si>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</si>
  <si>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</si>
  <si>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</si>
  <si>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</si>
  <si>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</si>
  <si>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</si>
  <si>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</si>
  <si>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</si>
  <si>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</si>
  <si>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</si>
  <si>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</si>
  <si>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</si>
  <si>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</si>
  <si>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</si>
  <si>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</si>
  <si>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</si>
  <si>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</si>
  <si>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</si>
  <si>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</si>
  <si>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</si>
  <si>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</si>
  <si>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</si>
  <si>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</si>
  <si>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</si>
  <si>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</si>
  <si>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</si>
  <si>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</si>
  <si>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</si>
  <si>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</si>
  <si>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</si>
  <si>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</si>
  <si>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</si>
  <si>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</si>
  <si>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</si>
  <si>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</si>
  <si>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</si>
  <si>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</si>
  <si>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</si>
  <si>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</si>
  <si>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</si>
  <si>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</si>
  <si>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</si>
  <si>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</si>
  <si>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</si>
  <si>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</si>
  <si>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</si>
  <si>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</si>
  <si>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</si>
  <si>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</si>
  <si>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</si>
  <si>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</si>
  <si>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</si>
  <si>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</si>
  <si>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</si>
  <si>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</si>
  <si>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</si>
  <si>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</si>
  <si>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</si>
  <si>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</si>
  <si>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</si>
  <si>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</si>
  <si>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</si>
  <si>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</si>
  <si>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</si>
  <si>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</si>
  <si>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</si>
  <si>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</si>
  <si>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</si>
  <si>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</si>
  <si>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</si>
  <si>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</si>
  <si>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</si>
  <si>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</si>
  <si>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</si>
  <si>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</si>
  <si>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</si>
  <si>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</si>
  <si>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</si>
  <si>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</si>
  <si>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</si>
  <si>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</si>
  <si>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</si>
  <si>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</si>
  <si>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</si>
  <si>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</si>
  <si>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</si>
  <si>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</si>
  <si>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</si>
  <si>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</si>
  <si>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</si>
  <si>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</si>
  <si>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</si>
  <si>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</si>
  <si>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</si>
  <si>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</si>
  <si>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</si>
  <si>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</si>
  <si>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</si>
  <si>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</si>
  <si>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</si>
  <si>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</si>
  <si>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</si>
  <si>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</si>
  <si>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</si>
  <si>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</si>
  <si>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</si>
  <si>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</si>
  <si>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</si>
  <si>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</si>
  <si>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</si>
  <si>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</si>
  <si>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</si>
  <si>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</si>
  <si>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</si>
  <si>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</si>
  <si>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</si>
  <si>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</si>
  <si>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</si>
  <si>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</si>
  <si>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</si>
  <si>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</si>
  <si>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</si>
  <si>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</si>
  <si>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</si>
  <si>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</si>
  <si>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</si>
  <si>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</si>
  <si>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</si>
  <si>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</si>
  <si>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</si>
  <si>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</si>
  <si>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</si>
  <si>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</si>
  <si>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</si>
  <si>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</si>
  <si>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</si>
  <si>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</si>
  <si>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</si>
  <si>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</si>
  <si>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</si>
  <si>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</si>
  <si>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</si>
  <si>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</si>
  <si>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</si>
  <si>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</si>
  <si>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</si>
  <si>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</si>
  <si>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</si>
  <si>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</si>
  <si>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</si>
  <si>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</si>
  <si>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</si>
  <si>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</si>
  <si>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</si>
  <si>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</si>
  <si>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</si>
  <si>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</si>
  <si>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</si>
  <si>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</si>
  <si>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</si>
  <si>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</si>
  <si>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</si>
  <si>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</si>
  <si>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</si>
  <si>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</si>
  <si>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</si>
  <si>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</si>
  <si>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</si>
  <si>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</si>
  <si>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</si>
  <si>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</si>
  <si>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</si>
  <si>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</si>
  <si>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</si>
  <si>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</si>
  <si>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</si>
  <si>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</si>
  <si>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</si>
  <si>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</si>
  <si>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</si>
  <si>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</si>
  <si>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</si>
  <si>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</si>
  <si>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</si>
  <si>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</si>
  <si>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</si>
  <si>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</si>
  <si>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</si>
  <si>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</si>
  <si>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</si>
  <si>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</si>
  <si>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</si>
  <si>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</si>
  <si>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</si>
  <si>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</si>
  <si>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</si>
  <si>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</si>
  <si>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</si>
  <si>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</si>
  <si>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</si>
  <si>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</si>
  <si>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</si>
  <si>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</si>
  <si>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</si>
  <si>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</si>
  <si>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</si>
  <si>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</si>
  <si>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</si>
  <si>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</si>
  <si>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</si>
  <si>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</si>
  <si>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</si>
  <si>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</si>
  <si>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</si>
  <si>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</si>
  <si>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</si>
  <si>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</si>
  <si>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</si>
  <si>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</si>
  <si>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</si>
  <si>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</si>
  <si>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</si>
  <si>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</si>
  <si>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</si>
  <si>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</si>
  <si>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</si>
  <si>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</si>
  <si>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</si>
  <si>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</si>
  <si>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</si>
  <si>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</si>
  <si>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</si>
  <si>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</si>
  <si>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</si>
  <si>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</si>
  <si>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</si>
  <si>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</si>
  <si>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</si>
  <si>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</si>
  <si>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</si>
  <si>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</si>
  <si>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</si>
  <si>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</si>
  <si>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</si>
  <si>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</si>
  <si>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</si>
  <si>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</si>
  <si>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</si>
  <si>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</si>
  <si>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</si>
  <si>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</si>
  <si>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</si>
  <si>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</si>
  <si>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</si>
  <si>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</si>
  <si>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</si>
  <si>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</si>
  <si>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</si>
  <si>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</si>
  <si>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</si>
  <si>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</si>
  <si>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</si>
  <si>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</si>
  <si>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</si>
  <si>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</si>
  <si>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</si>
  <si>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</si>
  <si>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</si>
  <si>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</si>
  <si>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</si>
  <si>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</si>
  <si>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</si>
  <si>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</si>
  <si>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</si>
  <si>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</si>
  <si>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</si>
  <si>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</si>
  <si>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</si>
  <si>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</si>
  <si>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</si>
  <si>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</si>
  <si>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</si>
  <si>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</si>
  <si>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</si>
  <si>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</si>
  <si>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</si>
  <si>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</si>
  <si>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</si>
  <si>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</si>
  <si>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</si>
  <si>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</si>
  <si>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</si>
  <si>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</si>
  <si>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</si>
  <si>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</si>
  <si>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</si>
  <si>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</si>
  <si>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</si>
  <si>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</si>
  <si>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</si>
  <si>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</si>
  <si>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</si>
  <si>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</si>
  <si>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</si>
  <si>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</si>
  <si>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</si>
  <si>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</si>
  <si>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</si>
  <si>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</si>
  <si>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</si>
  <si>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</si>
  <si>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</si>
  <si>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</si>
  <si>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</si>
  <si>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</si>
  <si>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</si>
  <si>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</si>
  <si>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</si>
  <si>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</si>
  <si>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</si>
  <si>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</si>
  <si>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</si>
  <si>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</si>
  <si>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</si>
  <si>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</si>
  <si>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</si>
  <si>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</si>
  <si>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</si>
  <si>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</si>
  <si>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</si>
  <si>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</si>
  <si>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</si>
  <si>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</si>
  <si>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</si>
  <si>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</si>
  <si>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</si>
  <si>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</si>
  <si>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</si>
  <si>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</si>
  <si>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</si>
  <si>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</si>
  <si>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</si>
  <si>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</si>
  <si>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</si>
  <si>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</si>
  <si>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</si>
  <si>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</si>
  <si>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</si>
  <si>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</si>
  <si>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</si>
  <si>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</si>
  <si>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</si>
  <si>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</si>
  <si>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</si>
  <si>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</si>
  <si>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</si>
  <si>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</si>
  <si>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</si>
  <si>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</si>
  <si>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</si>
  <si>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</si>
  <si>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</si>
  <si>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</si>
  <si>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</si>
  <si>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</si>
  <si>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</si>
  <si>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</si>
  <si>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</si>
  <si>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</si>
  <si>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</si>
  <si>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</si>
  <si>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</si>
  <si>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</si>
  <si>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</si>
  <si>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</si>
  <si>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</si>
  <si>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</si>
  <si>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</si>
  <si>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</si>
  <si>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</si>
  <si>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</si>
  <si>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</si>
  <si>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</si>
  <si>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</si>
  <si>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</si>
  <si>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</si>
  <si>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</si>
  <si>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</si>
  <si>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</si>
  <si>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</si>
  <si>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</si>
  <si>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</si>
  <si>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</si>
  <si>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</si>
  <si>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</si>
  <si>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</si>
  <si>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</si>
  <si>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</si>
  <si>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</si>
  <si>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</si>
  <si>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</si>
  <si>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</si>
  <si>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</si>
  <si>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</si>
  <si>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</si>
  <si>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</si>
  <si>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</si>
  <si>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</si>
  <si>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</si>
  <si>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</si>
  <si>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</si>
  <si>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</si>
  <si>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</si>
  <si>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</si>
  <si>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</si>
  <si>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</si>
  <si>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</si>
  <si>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</si>
  <si>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</si>
  <si>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</si>
  <si>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</si>
  <si>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</si>
  <si>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</si>
  <si>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</si>
  <si>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</si>
  <si>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</si>
  <si>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</si>
  <si>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</si>
  <si>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</si>
  <si>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</si>
  <si>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</si>
  <si>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</si>
  <si>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</si>
  <si>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</si>
  <si>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</si>
  <si>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</si>
  <si>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</si>
  <si>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</si>
  <si>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</si>
  <si>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</si>
  <si>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</si>
  <si>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</si>
  <si>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</si>
  <si>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</si>
  <si>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</si>
  <si>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</si>
  <si>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</si>
  <si>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</si>
  <si>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</si>
  <si>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</si>
  <si>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</si>
  <si>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</si>
  <si>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</si>
  <si>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</si>
  <si>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</si>
  <si>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</si>
  <si>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</si>
  <si>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</si>
  <si>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</si>
  <si>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</si>
  <si>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</si>
  <si>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</si>
  <si>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</si>
  <si>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</si>
  <si>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</si>
  <si>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</si>
  <si>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</si>
  <si>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</si>
  <si>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</si>
  <si>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</si>
  <si>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</si>
  <si>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</si>
  <si>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</si>
  <si>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</si>
  <si>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</si>
  <si>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</si>
  <si>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</si>
  <si>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</si>
  <si>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</si>
  <si>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</si>
  <si>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</si>
  <si>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</si>
  <si>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</si>
  <si>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</si>
  <si>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</si>
  <si>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</si>
  <si>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</si>
  <si>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</si>
  <si>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</si>
  <si>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</si>
  <si>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</si>
  <si>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</si>
  <si>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</si>
  <si>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</si>
  <si>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</si>
  <si>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</si>
  <si>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</si>
  <si>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</si>
  <si>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</si>
  <si>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</si>
  <si>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</si>
  <si>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</si>
  <si>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</si>
  <si>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</si>
  <si>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</si>
  <si>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</si>
  <si>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</si>
  <si>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</si>
  <si>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</si>
  <si>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</si>
  <si>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</si>
  <si>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</si>
  <si>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</si>
  <si>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</si>
  <si>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</si>
  <si>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</si>
  <si>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</si>
  <si>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</si>
  <si>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</si>
  <si>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</si>
  <si>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</si>
  <si>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</si>
  <si>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</si>
  <si>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</si>
  <si>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</si>
  <si>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</si>
  <si>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</si>
  <si>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</si>
  <si>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</si>
  <si>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</si>
  <si>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</si>
  <si>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</si>
  <si>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</si>
  <si>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</si>
  <si>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</si>
  <si>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</si>
  <si>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</si>
  <si>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</si>
  <si>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</si>
  <si>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</si>
  <si>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</si>
  <si>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</si>
  <si>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</si>
  <si>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</si>
  <si>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</si>
  <si>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</si>
  <si>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</si>
  <si>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</si>
  <si>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</si>
  <si>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</si>
  <si>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</si>
  <si>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</si>
  <si>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</si>
  <si>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</si>
  <si>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</si>
  <si>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</si>
  <si>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</si>
  <si>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</si>
  <si>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</si>
  <si>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</si>
  <si>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</si>
  <si>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</si>
  <si>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</si>
  <si>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</si>
  <si>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</si>
  <si>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</si>
  <si>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</si>
  <si>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</si>
  <si>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</si>
  <si>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</si>
  <si>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</si>
  <si>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</si>
  <si>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</si>
  <si>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</si>
  <si>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</si>
  <si>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</si>
  <si>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</si>
  <si>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</si>
  <si>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</si>
  <si>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</si>
  <si>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</si>
  <si>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</si>
  <si>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</si>
  <si>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</si>
  <si>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</si>
  <si>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</si>
  <si>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</si>
  <si>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</si>
  <si>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</si>
  <si>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</si>
  <si>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</si>
  <si>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</si>
  <si>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</si>
  <si>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</si>
  <si>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</si>
  <si>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</si>
  <si>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</si>
  <si>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</si>
  <si>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</si>
  <si>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</si>
  <si>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</si>
  <si>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</si>
  <si>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</si>
  <si>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</si>
  <si>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</si>
  <si>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</si>
  <si>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</si>
  <si>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</si>
  <si>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</si>
  <si>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</si>
  <si>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</si>
  <si>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</si>
  <si>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</si>
  <si>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</si>
  <si>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</si>
  <si>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</si>
  <si>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</si>
  <si>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</si>
  <si>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</si>
  <si>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</si>
  <si>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</si>
  <si>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</si>
  <si>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</si>
  <si>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</si>
  <si>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</si>
  <si>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</si>
  <si>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</si>
  <si>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</si>
  <si>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</si>
  <si>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</si>
  <si>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</si>
  <si>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</si>
  <si>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</si>
  <si>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</si>
  <si>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</si>
  <si>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</si>
  <si>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</si>
  <si>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</si>
  <si>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</si>
  <si>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</si>
  <si>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</si>
  <si>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</si>
  <si>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</si>
  <si>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</si>
  <si>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</si>
  <si>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</si>
  <si>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</si>
  <si>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</si>
  <si>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</si>
  <si>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</si>
  <si>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</si>
  <si>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</si>
  <si>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</si>
  <si>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</si>
  <si>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</si>
  <si>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</si>
  <si>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</si>
  <si>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</si>
  <si>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</si>
  <si>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</si>
  <si>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</si>
  <si>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</si>
  <si>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</si>
  <si>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</si>
  <si>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</si>
  <si>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</si>
  <si>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</si>
  <si>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</si>
  <si>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</si>
  <si>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</si>
  <si>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</si>
  <si>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</si>
  <si>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</si>
  <si>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</si>
  <si>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</si>
  <si>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</si>
  <si>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</si>
  <si>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</si>
  <si>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</si>
  <si>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</si>
  <si>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</si>
  <si>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</si>
  <si>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</si>
  <si>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</si>
  <si>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</si>
  <si>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</si>
  <si>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</si>
  <si>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</si>
  <si>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</si>
  <si>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</si>
  <si>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</si>
  <si>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</si>
  <si>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</si>
  <si>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</si>
  <si>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</si>
  <si>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</si>
  <si>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</si>
  <si>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</si>
  <si>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</si>
  <si>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</si>
  <si>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</si>
  <si>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</si>
  <si>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</si>
  <si>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</si>
  <si>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</si>
  <si>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</si>
  <si>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</si>
  <si>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</si>
  <si>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</si>
  <si>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</si>
  <si>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</si>
  <si>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</si>
  <si>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</si>
  <si>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</si>
  <si>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</si>
  <si>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</si>
  <si>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</si>
  <si>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</si>
  <si>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</si>
  <si>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</si>
  <si>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</si>
  <si>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</si>
  <si>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</si>
  <si>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</si>
  <si>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</si>
  <si>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</si>
  <si>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</si>
  <si>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</si>
  <si>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</si>
  <si>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</si>
  <si>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</si>
  <si>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</si>
  <si>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</si>
  <si>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</si>
  <si>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</si>
  <si>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</si>
  <si>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</si>
  <si>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</si>
  <si>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</si>
  <si>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</si>
  <si>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</si>
  <si>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</si>
  <si>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</si>
  <si>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</si>
  <si>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</si>
  <si>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</si>
  <si>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</si>
  <si>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</si>
  <si>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</si>
  <si>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</si>
  <si>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</si>
  <si>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</si>
  <si>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</si>
  <si>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</si>
  <si>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</si>
  <si>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</si>
  <si>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</si>
  <si>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</si>
  <si>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</si>
  <si>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</si>
  <si>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</si>
  <si>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</si>
  <si>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</si>
  <si>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</si>
  <si>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</si>
  <si>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</si>
  <si>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</si>
  <si>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</si>
  <si>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</si>
  <si>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</si>
  <si>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</si>
  <si>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</si>
  <si>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</si>
  <si>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</si>
  <si>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</si>
  <si>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</si>
  <si>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</si>
  <si>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</si>
  <si>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</si>
  <si>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</si>
  <si>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</si>
  <si>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</si>
  <si>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</si>
  <si>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</si>
  <si>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</si>
  <si>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</si>
  <si>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</si>
  <si>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</si>
  <si>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</si>
  <si>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</si>
  <si>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</si>
  <si>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</si>
  <si>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</si>
  <si>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</si>
  <si>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</si>
  <si>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</si>
  <si>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</si>
  <si>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</si>
  <si>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</si>
  <si>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</si>
  <si>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</si>
  <si>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</si>
  <si>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</si>
  <si>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</si>
  <si>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</si>
  <si>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</si>
  <si>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</si>
  <si>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</si>
  <si>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</si>
  <si>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</si>
  <si>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</si>
  <si>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</si>
  <si>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</si>
  <si>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</si>
  <si>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</si>
  <si>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</si>
  <si>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</si>
  <si>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</si>
  <si>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</si>
  <si>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</si>
  <si>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</si>
  <si>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</si>
  <si>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</si>
  <si>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</si>
  <si>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</si>
  <si>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</si>
  <si>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</si>
  <si>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</si>
  <si>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</si>
  <si>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</si>
  <si>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</si>
  <si>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</si>
  <si>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</si>
  <si>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</si>
  <si>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</si>
  <si>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</si>
  <si>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</si>
  <si>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</si>
  <si>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</si>
  <si>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</si>
  <si>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</si>
  <si>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</si>
  <si>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</si>
  <si>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</si>
  <si>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</si>
  <si>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</si>
  <si>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</si>
  <si>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</si>
  <si>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</si>
  <si>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</si>
  <si>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</si>
  <si>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</si>
  <si>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</si>
  <si>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</si>
  <si>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</si>
  <si>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</si>
  <si>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</si>
  <si>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</si>
  <si>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</si>
  <si>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</si>
  <si>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</si>
  <si>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</si>
  <si>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</si>
  <si>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</si>
  <si>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</si>
  <si>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</si>
  <si>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</si>
  <si>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</si>
  <si>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</si>
  <si>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</si>
  <si>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</si>
  <si>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</si>
  <si>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</si>
  <si>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</si>
  <si>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</si>
  <si>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</si>
  <si>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</si>
  <si>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</si>
  <si>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</si>
  <si>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</si>
  <si>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</si>
  <si>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</si>
  <si>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</si>
  <si>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</si>
  <si>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</si>
  <si>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</si>
  <si>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</si>
  <si>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</si>
  <si>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</si>
  <si>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</si>
  <si>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</si>
  <si>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</si>
  <si>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</si>
  <si>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</si>
  <si>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</si>
  <si>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</si>
  <si>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</si>
  <si>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</si>
  <si>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</si>
  <si>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</si>
  <si>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</si>
  <si>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</si>
  <si>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</si>
  <si>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</si>
  <si>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</si>
  <si>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</si>
  <si>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</si>
  <si>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</si>
  <si>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</si>
  <si>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</si>
  <si>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</si>
  <si>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</si>
  <si>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</si>
  <si>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</si>
  <si>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</si>
  <si>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</si>
  <si>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</si>
  <si>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</si>
  <si>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</si>
  <si>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</si>
  <si>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</si>
  <si>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</si>
  <si>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</si>
  <si>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</si>
  <si>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</si>
  <si>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</si>
  <si>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</si>
  <si>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</si>
  <si>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</si>
  <si>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</si>
  <si>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</si>
  <si>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</si>
  <si>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</si>
  <si>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</si>
  <si>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</si>
  <si>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</si>
  <si>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</si>
  <si>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</si>
  <si>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</si>
  <si>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</si>
  <si>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</si>
  <si>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</si>
  <si>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</si>
  <si>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</si>
  <si>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</si>
  <si>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</si>
  <si>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</si>
  <si>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</si>
  <si>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</si>
  <si>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</si>
  <si>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</si>
  <si>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</si>
  <si>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</si>
  <si>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</si>
  <si>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</si>
  <si>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</si>
  <si>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</si>
  <si>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</si>
  <si>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</si>
  <si>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</si>
  <si>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</si>
  <si>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</si>
  <si>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</si>
  <si>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</si>
  <si>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</si>
  <si>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</si>
  <si>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</si>
  <si>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</si>
  <si>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</si>
  <si>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</si>
  <si>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</si>
  <si>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</si>
  <si>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</si>
  <si>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</si>
  <si>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</si>
  <si>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</si>
  <si>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</si>
  <si>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</si>
  <si>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</si>
  <si>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</si>
  <si>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</si>
  <si>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</si>
  <si>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</si>
  <si>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</si>
  <si>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</si>
  <si>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</si>
  <si>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</si>
  <si>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</si>
  <si>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</si>
  <si>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</si>
  <si>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</si>
  <si>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</si>
  <si>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</si>
  <si>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</si>
  <si>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</si>
  <si>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</si>
  <si>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</si>
  <si>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</si>
  <si>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</si>
  <si>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</si>
  <si>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</si>
  <si>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</si>
  <si>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</si>
  <si>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</si>
  <si>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</si>
  <si>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</si>
  <si>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</si>
  <si>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</si>
  <si>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</si>
  <si>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</si>
  <si>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</si>
  <si>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</si>
  <si>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</si>
  <si>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</si>
  <si>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</si>
  <si>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</si>
  <si>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</si>
  <si>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</si>
  <si>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</si>
  <si>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</si>
  <si>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</si>
  <si>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</si>
  <si>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</si>
  <si>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</si>
  <si>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</si>
  <si>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</si>
  <si>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</si>
  <si>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</si>
  <si>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</si>
  <si>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</si>
  <si>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</si>
  <si>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</si>
  <si>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</si>
  <si>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</si>
  <si>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</si>
  <si>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</si>
  <si>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</si>
  <si>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</si>
  <si>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</si>
  <si>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</si>
  <si>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</si>
  <si>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</si>
  <si>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</si>
  <si>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</si>
  <si>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</si>
  <si>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</si>
  <si>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</si>
  <si>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</si>
  <si>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</si>
  <si>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</si>
  <si>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</si>
  <si>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</si>
  <si>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</si>
  <si>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</si>
  <si>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</si>
  <si>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</si>
  <si>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</si>
  <si>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</si>
  <si>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</si>
  <si>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</si>
  <si>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</si>
  <si>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</si>
  <si>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</si>
  <si>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</si>
  <si>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</si>
  <si>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</si>
  <si>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</si>
  <si>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</si>
  <si>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</si>
  <si>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</si>
  <si>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</si>
  <si>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</si>
  <si>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</si>
  <si>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</si>
  <si>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</si>
  <si>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</si>
  <si>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</si>
  <si>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</si>
  <si>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</si>
  <si>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</si>
  <si>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</si>
  <si>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</si>
  <si>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</si>
  <si>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</si>
  <si>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</si>
  <si>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</si>
  <si>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</si>
  <si>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</si>
  <si>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</si>
  <si>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</si>
  <si>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</si>
  <si>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</si>
  <si>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</si>
  <si>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</si>
  <si>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</si>
  <si>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</si>
  <si>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</si>
  <si>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</si>
  <si>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</si>
  <si>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</si>
  <si>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</si>
  <si>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</si>
  <si>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</si>
  <si>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</si>
  <si>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</si>
  <si>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</si>
  <si>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</si>
  <si>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</si>
  <si>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</si>
  <si>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</si>
  <si>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</si>
  <si>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</si>
  <si>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</si>
  <si>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</si>
  <si>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</si>
  <si>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</si>
  <si>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</si>
  <si>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</si>
  <si>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</si>
  <si>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</si>
  <si>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</si>
  <si>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</si>
  <si>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</si>
  <si>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</si>
  <si>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</si>
  <si>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</si>
  <si>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</si>
  <si>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</si>
  <si>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</si>
  <si>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</si>
  <si>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</si>
  <si>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</si>
  <si>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</si>
  <si>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</si>
  <si>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</si>
  <si>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</si>
  <si>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</si>
  <si>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</si>
  <si>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</si>
  <si>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</si>
  <si>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</si>
  <si>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</si>
  <si>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</si>
  <si>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</si>
  <si>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</si>
  <si>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</si>
  <si>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</si>
  <si>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</si>
  <si>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</si>
  <si>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</si>
  <si>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</si>
  <si>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</si>
  <si>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</si>
  <si>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</si>
  <si>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</si>
  <si>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</si>
  <si>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</si>
  <si>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</si>
  <si>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</si>
  <si>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</si>
  <si>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</si>
  <si>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</si>
  <si>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</si>
  <si>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</si>
  <si>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</si>
  <si>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</si>
  <si>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</si>
  <si>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</si>
  <si>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</si>
  <si>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</si>
  <si>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</si>
  <si>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</si>
  <si>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</si>
  <si>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</si>
  <si>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</si>
  <si>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</si>
  <si>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</si>
  <si>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</si>
  <si>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</si>
  <si>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</si>
  <si>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</si>
  <si>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</si>
  <si>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</si>
  <si>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</si>
  <si>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</si>
  <si>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</si>
  <si>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</si>
  <si>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</si>
  <si>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</si>
  <si>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</si>
  <si>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</si>
  <si>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</si>
  <si>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</si>
  <si>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</si>
  <si>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</si>
  <si>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</si>
  <si>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</si>
  <si>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</si>
  <si>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</si>
  <si>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</si>
  <si>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</si>
  <si>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</si>
  <si>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</si>
  <si>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</si>
  <si>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</si>
  <si>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</si>
  <si>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</si>
  <si>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</si>
  <si>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</si>
  <si>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</si>
  <si>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</si>
  <si>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05/02</t>
  </si>
  <si>
    <t>07/22</t>
  </si>
  <si>
    <t>Hooksett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</si>
</sst>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261</v>
      </c>
      <c r="C2" s="21">
        <v>261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2605973.5</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313412.51</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48150.07</v>
      </c>
      <c r="G13" s="18">
        <v>67958.240000000005</v>
      </c>
      <c r="H13" s="18">
        <v>258790.23</v>
      </c>
      <c r="I13" s="18"/>
      <c r="J13" s="67">
        <f>SUM(I443)</f>
        <v>418667.05</v>
      </c>
      <c r="K13" s="24" t="s">
        <v>288</v>
      </c>
      <c r="L13" s="24" t="s">
        <v>288</v>
      </c>
      <c r="M13" s="8"/>
      <c r="N13" s="264"/>
    </row>
    <row r="14" spans="1:14" s="3" customFormat="1" ht="12.2" customHeight="1" x14ac:dyDescent="0.15">
      <c r="A14" s="1" t="s">
        <v>565</v>
      </c>
      <c r="B14" s="2" t="s">
        <v>289</v>
      </c>
      <c r="C14" s="6">
        <v>6</v>
      </c>
      <c r="D14" s="2" t="s">
        <v>428</v>
      </c>
      <c r="E14" s="6">
        <v>150</v>
      </c>
      <c r="F14" s="18">
        <v>1503</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24698</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2969039.0799999996</v>
      </c>
      <c r="G19" s="41">
        <f>SUM(G9:G18)</f>
        <v>92656.24</v>
      </c>
      <c r="H19" s="41">
        <f>SUM(H9:H18)</f>
        <v>258790.23</v>
      </c>
      <c r="I19" s="41">
        <f>SUM(I9:I18)</f>
        <v>0</v>
      </c>
      <c r="J19" s="41">
        <f>SUM(J9:J18)</f>
        <v>418667.05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73310.05</v>
      </c>
      <c r="H22" s="18">
        <v>240102.44</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530628.13</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21309.439999999999</v>
      </c>
      <c r="G28" s="18">
        <v>1526</v>
      </c>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17820.189999999999</v>
      </c>
      <c r="H30" s="18">
        <v>18687.79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551937.56999999995</v>
      </c>
      <c r="G32" s="41">
        <f>SUM(G22:G31)</f>
        <v>92656.24</v>
      </c>
      <c r="H32" s="41">
        <f>SUM(H22:H31)</f>
        <v>258790.23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500000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418667.05</v>
      </c>
      <c r="K48" s="24" t="s">
        <v>288</v>
      </c>
      <c r="L48" s="24" t="s">
        <v>288</v>
      </c>
      <c r="M48" s="8"/>
      <c r="N48" s="264"/>
    </row>
    <row r="49" spans="1:14" s="3" customFormat="1" ht="12.2" customHeight="1" x14ac:dyDescent="0.15">
      <c r="A49" s="1" t="s">
        <v>859</v>
      </c>
      <c r="B49" s="2" t="s">
        <v>289</v>
      </c>
      <c r="C49" s="6">
        <v>34</v>
      </c>
      <c r="D49" s="2"/>
      <c r="E49" s="6">
        <v>753</v>
      </c>
      <c r="F49" s="18">
        <v>921043.57</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896057.94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2417101.5099999998</v>
      </c>
      <c r="G51" s="41">
        <f>SUM(G35:G50)</f>
        <v>0</v>
      </c>
      <c r="H51" s="41">
        <f>SUM(H35:H50)</f>
        <v>0</v>
      </c>
      <c r="I51" s="41">
        <f>SUM(I35:I50)</f>
        <v>0</v>
      </c>
      <c r="J51" s="41">
        <f>SUM(J35:J50)</f>
        <v>418667.05</v>
      </c>
      <c r="K51" s="45" t="s">
        <v>288</v>
      </c>
      <c r="L51" s="45" t="s">
        <v>288</v>
      </c>
      <c r="N51" s="262"/>
    </row>
    <row r="52" spans="1:14" s="3" customFormat="1" ht="12.2" customHeight="1" thickTop="1" x14ac:dyDescent="0.15">
      <c r="A52" s="38" t="s">
        <v>455</v>
      </c>
      <c r="B52" s="39" t="s">
        <v>289</v>
      </c>
      <c r="C52" s="6">
        <v>37</v>
      </c>
      <c r="D52" s="39" t="s">
        <v>653</v>
      </c>
      <c r="E52" s="39"/>
      <c r="F52" s="41">
        <f>F51+F32</f>
        <v>2969039.0799999996</v>
      </c>
      <c r="G52" s="41">
        <f>G51+G32</f>
        <v>92656.24</v>
      </c>
      <c r="H52" s="41">
        <f>H51+H32</f>
        <v>258790.23</v>
      </c>
      <c r="I52" s="41">
        <f>I51+I32</f>
        <v>0</v>
      </c>
      <c r="J52" s="41">
        <f>J51+J32</f>
        <v>418667.05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24421421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24421421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2154.25</v>
      </c>
      <c r="G96" s="18"/>
      <c r="H96" s="18"/>
      <c r="I96" s="18"/>
      <c r="J96" s="18">
        <v>14797.43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75317.41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16700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2000</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1605</v>
      </c>
      <c r="G109" s="18">
        <v>5.38</v>
      </c>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10616.34+285427.78</f>
        <v>296044.12000000005</v>
      </c>
      <c r="G110" s="18">
        <v>338.27</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316503.37000000005</v>
      </c>
      <c r="G111" s="41">
        <f>SUM(G96:G110)</f>
        <v>75661.060000000012</v>
      </c>
      <c r="H111" s="41">
        <f>SUM(H96:H110)</f>
        <v>2000</v>
      </c>
      <c r="I111" s="41">
        <f>SUM(I96:I110)</f>
        <v>0</v>
      </c>
      <c r="J111" s="41">
        <f>SUM(J96:J110)</f>
        <v>14797.43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24737924.370000001</v>
      </c>
      <c r="G112" s="41">
        <f>G60+G111</f>
        <v>75661.060000000012</v>
      </c>
      <c r="H112" s="41">
        <f>H60+H79+H94+H111</f>
        <v>2000</v>
      </c>
      <c r="I112" s="41">
        <f>I60+I111</f>
        <v>0</v>
      </c>
      <c r="J112" s="41">
        <f>J60+J111</f>
        <v>14797.43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4205458.05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3866211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11719.07</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8083388.1200000001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f>328672.47</f>
        <v>328672.46999999997</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v>35233.410000000003</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399607.27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5650.93+506.76</f>
        <v>6157.6900000000005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43200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806713.15</v>
      </c>
      <c r="G136" s="41">
        <f>SUM(G123:G135)</f>
        <v>6157.6900000000005</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8890101.2699999996</v>
      </c>
      <c r="G140" s="41">
        <f>G121+SUM(G136:G137)</f>
        <v>6157.6900000000005</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85492.59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14366.96+1930+9499.99+4734.97</f>
        <v>30531.919999999998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258977.2+34416.42+31925.88+13042</f>
        <v>338361.5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45993.68+3574.13+6890+74532.22+105778.19+60603</f>
        <v>297371.21999999997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33301.019999999997</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380200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138943.32999999999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33301.019999999997</v>
      </c>
      <c r="G163" s="41">
        <f>SUM(G150:G162)</f>
        <v>338361.5</v>
      </c>
      <c r="H163" s="41">
        <f>SUM(H150:H162)</f>
        <v>932539.05999999994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v>226.41</v>
      </c>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33301.019999999997</v>
      </c>
      <c r="G170" s="41">
        <f>G147+G163+SUM(G164:G169)</f>
        <v>338361.5</v>
      </c>
      <c r="H170" s="41">
        <f>H147+H163+SUM(H164:H169)</f>
        <v>932765.47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84816.15</v>
      </c>
      <c r="H180" s="18"/>
      <c r="I180" s="18">
        <v>26822</v>
      </c>
      <c r="J180" s="18">
        <v>100000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84816.15</v>
      </c>
      <c r="H184" s="41">
        <f>SUM(H180:H183)</f>
        <v>0</v>
      </c>
      <c r="I184" s="41">
        <f>SUM(I180:I183)</f>
        <v>26822</v>
      </c>
      <c r="J184" s="41">
        <f>SUM(J180:J183)</f>
        <v>100000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v>440000</v>
      </c>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440000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84816.15</v>
      </c>
      <c r="H193" s="41">
        <f>+H184+SUM(H189:H192)</f>
        <v>0</v>
      </c>
      <c r="I193" s="41">
        <f>I178+I184+SUM(I189:I192)</f>
        <v>466822</v>
      </c>
      <c r="J193" s="41">
        <f>J184</f>
        <v>100000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33661326.660000004</v>
      </c>
      <c r="G194" s="47">
        <f>G112+G140+G170+G193</f>
        <v>504996.4</v>
      </c>
      <c r="H194" s="47">
        <f>H112+H140+H170+H193</f>
        <v>934765.47</v>
      </c>
      <c r="I194" s="47">
        <f>I112+I140+I170+I193</f>
        <v>466822</v>
      </c>
      <c r="J194" s="47">
        <f>J112+J140+J193</f>
        <v>114797.43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3017689.97+106016</f>
        <v>3123705.97</v>
      </c>
      <c r="G198" s="18">
        <f>1645163.59+27915.87+17298.69</f>
        <v>1690378.1500000001</v>
      </c>
      <c r="H198" s="18">
        <f>1765+33298.32</f>
        <v>35063.32</v>
      </c>
      <c r="I198" s="18">
        <f>317568.08</f>
        <v>317568.08</v>
      </c>
      <c r="J198" s="18"/>
      <c r="K198" s="18"/>
      <c r="L198" s="19">
        <f>SUM(F198:K198)</f>
        <v>5166715.5200000005</v>
      </c>
      <c r="M198" s="8"/>
      <c r="N198" s="264"/>
    </row>
    <row r="199" spans="1:14" s="3" customFormat="1" ht="12.2" customHeight="1" x14ac:dyDescent="0.15">
      <c r="A199" s="1" t="s">
        <v>439</v>
      </c>
      <c r="B199" s="2" t="s">
        <v>341</v>
      </c>
      <c r="C199" s="2" t="s">
        <v>291</v>
      </c>
      <c r="D199" s="2" t="s">
        <v>431</v>
      </c>
      <c r="E199" s="6">
        <v>1200</v>
      </c>
      <c r="F199" s="18">
        <f>444660.99+6775+112053+90478.82</f>
        <v>653967.81000000006</v>
      </c>
      <c r="G199" s="18">
        <f>337065.63+1723.17+48193.81+57590.79+19.2</f>
        <v>444592.6</v>
      </c>
      <c r="H199" s="18">
        <f>197607.78+133628.95+17522.36+954+14114.37+4556.75</f>
        <v>368384.20999999996</v>
      </c>
      <c r="I199" s="18">
        <f>1007.32+457.02+115.34+460.37</f>
        <v>2040.0500000000002</v>
      </c>
      <c r="J199" s="18">
        <f>1044.47</f>
        <v>1044.47</v>
      </c>
      <c r="K199" s="18">
        <f>1455+325</f>
        <v>1780</v>
      </c>
      <c r="L199" s="19">
        <f>SUM(F199:K199)</f>
        <v>1471809.1400000001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2604</f>
        <v>2604</v>
      </c>
      <c r="G201" s="18">
        <f>655.87</f>
        <v>655.87</v>
      </c>
      <c r="H201" s="18"/>
      <c r="I201" s="18">
        <f>338.03</f>
        <v>338.03</v>
      </c>
      <c r="J201" s="18"/>
      <c r="K201" s="18"/>
      <c r="L201" s="19">
        <f>SUM(F201:K201)</f>
        <v>3597.8999999999996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146115.71+117349.74+145213+88292.22</f>
        <v>496970.67000000004</v>
      </c>
      <c r="G203" s="18">
        <f>47920.39+57316.05+91800.63+357.12+40225.38</f>
        <v>237619.57</v>
      </c>
      <c r="H203" s="18">
        <f>10040.5+93509.23+322+167.2+108905.31+267299.88+431.3+13946.08+951.77+29907.04+576+268.8+225.28</f>
        <v>526550.39000000013</v>
      </c>
      <c r="I203" s="18">
        <f>260.12+3309.94+67.68+37.12</f>
        <v>3674.8599999999997</v>
      </c>
      <c r="J203" s="18">
        <f>232.56</f>
        <v>232.56</v>
      </c>
      <c r="K203" s="18"/>
      <c r="L203" s="19">
        <f t="shared" ref="L203:L209" si="0">SUM(F203:K203)</f>
        <v>1265048.0500000003</v>
      </c>
      <c r="M203" s="8"/>
      <c r="N203" s="264"/>
    </row>
    <row r="204" spans="1:14" s="3" customFormat="1" ht="12.2" customHeight="1" x14ac:dyDescent="0.15">
      <c r="A204" s="1" t="s">
        <v>443</v>
      </c>
      <c r="B204" s="2" t="s">
        <v>341</v>
      </c>
      <c r="C204" s="2" t="s">
        <v>295</v>
      </c>
      <c r="D204" s="2" t="s">
        <v>431</v>
      </c>
      <c r="E204" s="6">
        <v>2200</v>
      </c>
      <c r="F204" s="18">
        <f>169410.2+57823.26</f>
        <v>227233.46000000002</v>
      </c>
      <c r="G204" s="18">
        <f>126697.71+31998.45</f>
        <v>158696.16</v>
      </c>
      <c r="H204" s="18">
        <f>4756+9376</f>
        <v>14132</v>
      </c>
      <c r="I204" s="18">
        <f>20036.86</f>
        <v>20036.86</v>
      </c>
      <c r="J204" s="18"/>
      <c r="K204" s="18">
        <f>515</f>
        <v>515</v>
      </c>
      <c r="L204" s="19">
        <f t="shared" si="0"/>
        <v>420613.48</v>
      </c>
      <c r="M204" s="8"/>
      <c r="N204" s="264"/>
    </row>
    <row r="205" spans="1:14" s="3" customFormat="1" ht="12.2" customHeight="1" x14ac:dyDescent="0.15">
      <c r="A205" s="1" t="s">
        <v>444</v>
      </c>
      <c r="B205" s="2" t="s">
        <v>341</v>
      </c>
      <c r="C205" s="2" t="s">
        <v>296</v>
      </c>
      <c r="D205" s="2" t="s">
        <v>431</v>
      </c>
      <c r="E205" s="6">
        <v>2300</v>
      </c>
      <c r="F205" s="18">
        <f>10720</f>
        <v>10720</v>
      </c>
      <c r="G205" s="18">
        <f>820.16</f>
        <v>820.16</v>
      </c>
      <c r="H205" s="18">
        <f>44218.3+453344.64</f>
        <v>497562.94</v>
      </c>
      <c r="I205" s="18">
        <f>1646.32</f>
        <v>1646.32</v>
      </c>
      <c r="J205" s="18"/>
      <c r="K205" s="18">
        <f>3769.83</f>
        <v>3769.83</v>
      </c>
      <c r="L205" s="19">
        <f t="shared" si="0"/>
        <v>514519.25</v>
      </c>
      <c r="M205" s="8"/>
      <c r="N205" s="264"/>
    </row>
    <row r="206" spans="1:14" s="3" customFormat="1" ht="12.2" customHeight="1" x14ac:dyDescent="0.15">
      <c r="A206" s="1" t="s">
        <v>445</v>
      </c>
      <c r="B206" s="2" t="s">
        <v>341</v>
      </c>
      <c r="C206" s="2" t="s">
        <v>297</v>
      </c>
      <c r="D206" s="2" t="s">
        <v>431</v>
      </c>
      <c r="E206" s="6">
        <v>2400</v>
      </c>
      <c r="F206" s="18">
        <f>535339.65</f>
        <v>535339.65</v>
      </c>
      <c r="G206" s="18">
        <f>280111.45</f>
        <v>280111.45</v>
      </c>
      <c r="H206" s="18">
        <f>9172.25+26723.28+320.31</f>
        <v>36215.839999999997</v>
      </c>
      <c r="I206" s="18">
        <f>7910.85</f>
        <v>7910.85</v>
      </c>
      <c r="J206" s="18">
        <f>109.99</f>
        <v>109.99</v>
      </c>
      <c r="K206" s="18">
        <f>2860</f>
        <v>2860</v>
      </c>
      <c r="L206" s="19">
        <f t="shared" si="0"/>
        <v>862547.78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249214.02+52365.4</f>
        <v>301579.42</v>
      </c>
      <c r="G208" s="18">
        <f>170483.59+22784.84</f>
        <v>193268.43</v>
      </c>
      <c r="H208" s="18">
        <f>267957.56+28294.5+3603.22+39984.84</f>
        <v>339840.12</v>
      </c>
      <c r="I208" s="18">
        <f>182724.87+285.64</f>
        <v>183010.51</v>
      </c>
      <c r="J208" s="18">
        <f>37894.99</f>
        <v>37894.99</v>
      </c>
      <c r="K208" s="18"/>
      <c r="L208" s="19">
        <f t="shared" si="0"/>
        <v>1055593.47</v>
      </c>
      <c r="M208" s="8"/>
      <c r="N208" s="264"/>
    </row>
    <row r="209" spans="1:14" s="3" customFormat="1" ht="12.2" customHeight="1" x14ac:dyDescent="0.15">
      <c r="A209" s="1" t="s">
        <v>448</v>
      </c>
      <c r="B209" s="2" t="s">
        <v>341</v>
      </c>
      <c r="C209" s="2" t="s">
        <v>300</v>
      </c>
      <c r="D209" s="2" t="s">
        <v>431</v>
      </c>
      <c r="E209" s="6">
        <v>2700</v>
      </c>
      <c r="F209" s="18"/>
      <c r="G209" s="18"/>
      <c r="H209" s="18">
        <f>694843.86</f>
        <v>694843.86</v>
      </c>
      <c r="I209" s="18"/>
      <c r="J209" s="18"/>
      <c r="K209" s="18"/>
      <c r="L209" s="19">
        <f t="shared" si="0"/>
        <v>694843.86</v>
      </c>
      <c r="M209" s="8"/>
      <c r="N209" s="264"/>
    </row>
    <row r="210" spans="1:14" s="3" customFormat="1" ht="12.2" customHeight="1" x14ac:dyDescent="0.15">
      <c r="A210" s="1" t="s">
        <v>449</v>
      </c>
      <c r="B210" s="2" t="s">
        <v>341</v>
      </c>
      <c r="C210" s="2" t="s">
        <v>343</v>
      </c>
      <c r="D210" s="2" t="s">
        <v>431</v>
      </c>
      <c r="E210" s="6">
        <v>2800</v>
      </c>
      <c r="F210" s="18">
        <f>77985.12+56238.2</f>
        <v>134223.32</v>
      </c>
      <c r="G210" s="18">
        <f>23384.3+26984.65</f>
        <v>50368.95</v>
      </c>
      <c r="H210" s="18">
        <f>6524.39</f>
        <v>6524.39</v>
      </c>
      <c r="I210" s="18">
        <f>75918.85+27694.79</f>
        <v>103613.64000000001</v>
      </c>
      <c r="J210" s="18">
        <f>13132.47</f>
        <v>13132.47</v>
      </c>
      <c r="K210" s="18"/>
      <c r="L210" s="19">
        <f>SUM(F210:K210)</f>
        <v>307862.77</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5486344.3000000007</v>
      </c>
      <c r="G212" s="41">
        <f t="shared" si="1"/>
        <v>3056511.3400000008</v>
      </c>
      <c r="H212" s="41">
        <f t="shared" si="1"/>
        <v>2519117.0700000003</v>
      </c>
      <c r="I212" s="41">
        <f t="shared" si="1"/>
        <v>639839.20000000007</v>
      </c>
      <c r="J212" s="41">
        <f t="shared" si="1"/>
        <v>52414.479999999996</v>
      </c>
      <c r="K212" s="41">
        <f t="shared" si="1"/>
        <v>8924.83</v>
      </c>
      <c r="L212" s="41">
        <f t="shared" si="1"/>
        <v>11763151.220000001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2091105.42+59634</f>
        <v>2150739.42</v>
      </c>
      <c r="G216" s="18">
        <f>1058139.51+15702.67+9730.51</f>
        <v>1083572.69</v>
      </c>
      <c r="H216" s="18">
        <f>8350.04+9710.58</f>
        <v>18060.620000000003</v>
      </c>
      <c r="I216" s="18">
        <f>85554.45+5736.01+6444.51+4312.5+21922.81+1127.49+1263.35+884.93</f>
        <v>127246.04999999999</v>
      </c>
      <c r="J216" s="18">
        <f>14919.62+439.98+3017.42</f>
        <v>18377.02</v>
      </c>
      <c r="K216" s="18"/>
      <c r="L216" s="19">
        <f>SUM(F216:K216)</f>
        <v>3397995.8</v>
      </c>
      <c r="M216" s="8"/>
      <c r="N216" s="264"/>
    </row>
    <row r="217" spans="1:14" s="3" customFormat="1" ht="12.2" customHeight="1" x14ac:dyDescent="0.15">
      <c r="A217" s="1" t="s">
        <v>439</v>
      </c>
      <c r="B217" s="2" t="s">
        <v>346</v>
      </c>
      <c r="C217" s="2" t="s">
        <v>291</v>
      </c>
      <c r="D217" s="2" t="s">
        <v>431</v>
      </c>
      <c r="E217" s="6">
        <v>1200</v>
      </c>
      <c r="F217" s="18">
        <f>336461.51+176.75+43182.9+147950+49763.35</f>
        <v>577534.51</v>
      </c>
      <c r="G217" s="18">
        <f>242770.02+33.27+28412.14+59241.5+31674.94+10.8</f>
        <v>362142.67</v>
      </c>
      <c r="H217" s="18">
        <f>104451.01+45.85+15801.8+4700+636+1763.96+7939.33+2563.17</f>
        <v>137901.12000000002</v>
      </c>
      <c r="I217" s="18">
        <f>1013.52+281+258.96</f>
        <v>1553.48</v>
      </c>
      <c r="J217" s="18">
        <f>587.52</f>
        <v>587.52</v>
      </c>
      <c r="K217" s="18"/>
      <c r="L217" s="19">
        <f>SUM(F217:K217)</f>
        <v>1079719.3</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f>12760+28836</f>
        <v>41596</v>
      </c>
      <c r="G219" s="18">
        <f>2790.65+4597.59</f>
        <v>7388.24</v>
      </c>
      <c r="H219" s="18">
        <f>9631.85</f>
        <v>9631.85</v>
      </c>
      <c r="I219" s="18">
        <f>2246.99+5653.71+805.25</f>
        <v>8705.9500000000007</v>
      </c>
      <c r="J219" s="18">
        <f>928.81</f>
        <v>928.81</v>
      </c>
      <c r="K219" s="18">
        <f>555+1285.51</f>
        <v>1840.51</v>
      </c>
      <c r="L219" s="19">
        <f>SUM(F219:K219)</f>
        <v>70091.359999999986</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139479.87+62379.5+82316+49664.37</f>
        <v>333839.74</v>
      </c>
      <c r="G221" s="18">
        <f>73030.8+42505.25+33169.26+200.88+22626.77</f>
        <v>171532.96</v>
      </c>
      <c r="H221" s="18">
        <f>6552.5+9252.84+144+81343.6+131929.2+683.48+24960.72+324+151.2+126.72</f>
        <v>255468.26000000004</v>
      </c>
      <c r="I221" s="18">
        <f>1511.54+209.52+71.88+878.94+20.88</f>
        <v>2692.76</v>
      </c>
      <c r="J221" s="18">
        <f>241.2</f>
        <v>241.2</v>
      </c>
      <c r="K221" s="18"/>
      <c r="L221" s="19">
        <f t="shared" ref="L221:L227" si="2">SUM(F221:K221)</f>
        <v>763774.91999999993</v>
      </c>
      <c r="M221" s="8"/>
      <c r="N221" s="264"/>
    </row>
    <row r="222" spans="1:14" s="3" customFormat="1" ht="12.2" customHeight="1" x14ac:dyDescent="0.15">
      <c r="A222" s="1" t="s">
        <v>443</v>
      </c>
      <c r="B222" s="2" t="s">
        <v>346</v>
      </c>
      <c r="C222" s="2" t="s">
        <v>295</v>
      </c>
      <c r="D222" s="2" t="s">
        <v>431</v>
      </c>
      <c r="E222" s="6">
        <v>2200</v>
      </c>
      <c r="F222" s="18">
        <f>24463.2+32525.59</f>
        <v>56988.79</v>
      </c>
      <c r="G222" s="18">
        <f>2836.21+15682.45+17999.13</f>
        <v>36517.79</v>
      </c>
      <c r="H222" s="18">
        <f>2326+5274</f>
        <v>7600</v>
      </c>
      <c r="I222" s="18">
        <f>15221.28</f>
        <v>15221.28</v>
      </c>
      <c r="J222" s="18">
        <f>219</f>
        <v>219</v>
      </c>
      <c r="K222" s="18">
        <f>305</f>
        <v>305</v>
      </c>
      <c r="L222" s="19">
        <f t="shared" si="2"/>
        <v>116851.86</v>
      </c>
      <c r="M222" s="8"/>
      <c r="N222" s="264"/>
    </row>
    <row r="223" spans="1:14" s="3" customFormat="1" ht="12.2" customHeight="1" x14ac:dyDescent="0.15">
      <c r="A223" s="1" t="s">
        <v>444</v>
      </c>
      <c r="B223" s="2" t="s">
        <v>346</v>
      </c>
      <c r="C223" s="2" t="s">
        <v>296</v>
      </c>
      <c r="D223" s="2" t="s">
        <v>431</v>
      </c>
      <c r="E223" s="6">
        <v>2300</v>
      </c>
      <c r="F223" s="18">
        <f>6030</f>
        <v>6030</v>
      </c>
      <c r="G223" s="18">
        <f>461.34</f>
        <v>461.34</v>
      </c>
      <c r="H223" s="18">
        <f>24872.79+255006.36</f>
        <v>279879.14999999997</v>
      </c>
      <c r="I223" s="18">
        <f>926.05</f>
        <v>926.05</v>
      </c>
      <c r="J223" s="18"/>
      <c r="K223" s="18">
        <f>2120.53</f>
        <v>2120.5300000000002</v>
      </c>
      <c r="L223" s="19">
        <f t="shared" si="2"/>
        <v>289417.07</v>
      </c>
      <c r="M223" s="8"/>
      <c r="N223" s="264"/>
    </row>
    <row r="224" spans="1:14" s="3" customFormat="1" ht="12.2" customHeight="1" x14ac:dyDescent="0.15">
      <c r="A224" s="1" t="s">
        <v>445</v>
      </c>
      <c r="B224" s="2" t="s">
        <v>346</v>
      </c>
      <c r="C224" s="2" t="s">
        <v>297</v>
      </c>
      <c r="D224" s="2" t="s">
        <v>431</v>
      </c>
      <c r="E224" s="6">
        <v>2400</v>
      </c>
      <c r="F224" s="18">
        <f>258769.57</f>
        <v>258769.57</v>
      </c>
      <c r="G224" s="18">
        <f>138930.6</f>
        <v>138930.6</v>
      </c>
      <c r="H224" s="18">
        <f>7511+40023.06+180.18</f>
        <v>47714.239999999998</v>
      </c>
      <c r="I224" s="18">
        <f>3378.4</f>
        <v>3378.4</v>
      </c>
      <c r="J224" s="18">
        <f>655.95</f>
        <v>655.95</v>
      </c>
      <c r="K224" s="18">
        <f>2073</f>
        <v>2073</v>
      </c>
      <c r="L224" s="19">
        <f t="shared" si="2"/>
        <v>451521.76000000007</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f>133607.74+29455.54</f>
        <v>163063.28</v>
      </c>
      <c r="G226" s="18">
        <f>72977.1+12816.47</f>
        <v>85793.57</v>
      </c>
      <c r="H226" s="18">
        <f>247512.23+15915.66+2026.81+22491.48</f>
        <v>287946.18</v>
      </c>
      <c r="I226" s="18">
        <f>234417.34+160.68</f>
        <v>234578.02</v>
      </c>
      <c r="J226" s="18">
        <f>2343.99</f>
        <v>2343.9899999999998</v>
      </c>
      <c r="K226" s="18"/>
      <c r="L226" s="19">
        <f t="shared" si="2"/>
        <v>773725.04</v>
      </c>
      <c r="M226" s="8"/>
      <c r="N226" s="264"/>
    </row>
    <row r="227" spans="1:14" s="3" customFormat="1" ht="12.2" customHeight="1" x14ac:dyDescent="0.15">
      <c r="A227" s="1" t="s">
        <v>448</v>
      </c>
      <c r="B227" s="2" t="s">
        <v>346</v>
      </c>
      <c r="C227" s="2" t="s">
        <v>300</v>
      </c>
      <c r="D227" s="2" t="s">
        <v>431</v>
      </c>
      <c r="E227" s="6">
        <v>2700</v>
      </c>
      <c r="F227" s="18"/>
      <c r="G227" s="18"/>
      <c r="H227" s="18">
        <f>13000.74+259586.01+138261.43</f>
        <v>410848.18</v>
      </c>
      <c r="I227" s="18"/>
      <c r="J227" s="18"/>
      <c r="K227" s="18"/>
      <c r="L227" s="19">
        <f t="shared" si="2"/>
        <v>410848.18</v>
      </c>
      <c r="M227" s="8"/>
      <c r="N227" s="264"/>
    </row>
    <row r="228" spans="1:14" s="3" customFormat="1" ht="12.2" customHeight="1" x14ac:dyDescent="0.15">
      <c r="A228" s="1" t="s">
        <v>449</v>
      </c>
      <c r="B228" s="2" t="s">
        <v>346</v>
      </c>
      <c r="C228" s="2" t="s">
        <v>343</v>
      </c>
      <c r="D228" s="2" t="s">
        <v>431</v>
      </c>
      <c r="E228" s="6">
        <v>2800</v>
      </c>
      <c r="F228" s="18">
        <f>31633.98</f>
        <v>31633.98</v>
      </c>
      <c r="G228" s="18">
        <f>15178.87</f>
        <v>15178.87</v>
      </c>
      <c r="H228" s="18">
        <f>3669.98</f>
        <v>3669.98</v>
      </c>
      <c r="I228" s="18">
        <f>15578.32+6188.6</f>
        <v>21766.92</v>
      </c>
      <c r="J228" s="18">
        <f>7387</f>
        <v>7387</v>
      </c>
      <c r="K228" s="18"/>
      <c r="L228" s="19">
        <f>SUM(F228:K228)</f>
        <v>79636.75</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3620195.2899999996</v>
      </c>
      <c r="G230" s="41">
        <f>SUM(G216:G229)</f>
        <v>1901518.7300000002</v>
      </c>
      <c r="H230" s="41">
        <f>SUM(H216:H229)</f>
        <v>1458719.5799999998</v>
      </c>
      <c r="I230" s="41">
        <f>SUM(I216:I229)</f>
        <v>416068.91</v>
      </c>
      <c r="J230" s="41">
        <f>SUM(J216:J229)</f>
        <v>30740.490000000005</v>
      </c>
      <c r="K230" s="41">
        <f t="shared" si="3"/>
        <v>6339.0400000000009</v>
      </c>
      <c r="L230" s="41">
        <f t="shared" si="3"/>
        <v>7433582.04</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284.38</f>
        <v>284.38</v>
      </c>
      <c r="G234" s="18">
        <f>21.75</f>
        <v>21.75</v>
      </c>
      <c r="H234" s="18">
        <f>3325+7161447.48</f>
        <v>7164772.4800000004</v>
      </c>
      <c r="I234" s="18"/>
      <c r="J234" s="18"/>
      <c r="K234" s="18"/>
      <c r="L234" s="19">
        <f>SUM(F234:K234)</f>
        <v>7165078.6100000003</v>
      </c>
      <c r="M234" s="8"/>
      <c r="N234" s="264"/>
    </row>
    <row r="235" spans="1:14" s="3" customFormat="1" ht="12.2" customHeight="1" x14ac:dyDescent="0.15">
      <c r="A235" s="1" t="s">
        <v>439</v>
      </c>
      <c r="B235" s="2" t="s">
        <v>350</v>
      </c>
      <c r="C235" s="2" t="s">
        <v>291</v>
      </c>
      <c r="D235" s="2" t="s">
        <v>431</v>
      </c>
      <c r="E235" s="6">
        <v>1200</v>
      </c>
      <c r="F235" s="18">
        <f>131965.9+85954.88</f>
        <v>217920.78</v>
      </c>
      <c r="G235" s="18">
        <f>59407.43+54711.25</f>
        <v>114118.68</v>
      </c>
      <c r="H235" s="18">
        <f>487540.78+3245687.67+21568.28+12336.64+319.23</f>
        <v>3767452.6</v>
      </c>
      <c r="I235" s="18"/>
      <c r="J235" s="18"/>
      <c r="K235" s="18"/>
      <c r="L235" s="19">
        <f>SUM(F235:K235)</f>
        <v>4099492.06</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f>44937.2+27301.55+46003.2+56304.16</f>
        <v>174546.11</v>
      </c>
      <c r="I239" s="18"/>
      <c r="J239" s="18"/>
      <c r="K239" s="18"/>
      <c r="L239" s="19">
        <f t="shared" ref="L239:L245" si="4">SUM(F239:K239)</f>
        <v>174546.11</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f>378562.92+238815.21</f>
        <v>617378.13</v>
      </c>
      <c r="I245" s="18"/>
      <c r="J245" s="18"/>
      <c r="K245" s="18"/>
      <c r="L245" s="19">
        <f t="shared" si="4"/>
        <v>617378.13</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218205.16</v>
      </c>
      <c r="G248" s="41">
        <f t="shared" si="5"/>
        <v>114140.43</v>
      </c>
      <c r="H248" s="41">
        <f t="shared" si="5"/>
        <v>11724149.32</v>
      </c>
      <c r="I248" s="41">
        <f t="shared" si="5"/>
        <v>0</v>
      </c>
      <c r="J248" s="41">
        <f t="shared" si="5"/>
        <v>0</v>
      </c>
      <c r="K248" s="41">
        <f t="shared" si="5"/>
        <v>0</v>
      </c>
      <c r="L248" s="41">
        <f t="shared" si="5"/>
        <v>12056494.91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13000</v>
      </c>
      <c r="I256" s="18"/>
      <c r="J256" s="18"/>
      <c r="K256" s="18"/>
      <c r="L256" s="19">
        <f t="shared" si="6"/>
        <v>13000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13000</v>
      </c>
      <c r="I257" s="41">
        <f t="shared" si="7"/>
        <v>0</v>
      </c>
      <c r="J257" s="41">
        <f t="shared" si="7"/>
        <v>0</v>
      </c>
      <c r="K257" s="41">
        <f t="shared" si="7"/>
        <v>0</v>
      </c>
      <c r="L257" s="41">
        <f>SUM(F257:K257)</f>
        <v>13000</v>
      </c>
      <c r="M257" s="8"/>
      <c r="N257" s="264"/>
    </row>
    <row r="258" spans="1:14" s="3" customFormat="1" ht="12.2" customHeight="1" thickTop="1" x14ac:dyDescent="0.15">
      <c r="A258" s="38" t="s">
        <v>462</v>
      </c>
      <c r="B258" s="40">
        <v>10</v>
      </c>
      <c r="C258" s="40">
        <v>8</v>
      </c>
      <c r="D258" s="39" t="s">
        <v>431</v>
      </c>
      <c r="E258" s="40"/>
      <c r="F258" s="41">
        <f t="shared" ref="F258:L258" si="8">F212+F230+F248+F257</f>
        <v>9324744.75</v>
      </c>
      <c r="G258" s="41">
        <f t="shared" si="8"/>
        <v>5072170.5000000009</v>
      </c>
      <c r="H258" s="41">
        <f t="shared" si="8"/>
        <v>15714985.970000001</v>
      </c>
      <c r="I258" s="41">
        <f t="shared" si="8"/>
        <v>1055908.1100000001</v>
      </c>
      <c r="J258" s="41">
        <f t="shared" si="8"/>
        <v>83154.97</v>
      </c>
      <c r="K258" s="41">
        <f t="shared" si="8"/>
        <v>15263.87</v>
      </c>
      <c r="L258" s="41">
        <f t="shared" si="8"/>
        <v>31266228.170000002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1030000</v>
      </c>
      <c r="L261" s="19">
        <f>SUM(F261:K261)</f>
        <v>1030000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128750</v>
      </c>
      <c r="L262" s="19">
        <f>SUM(F262:K262)</f>
        <v>128750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84816.15</v>
      </c>
      <c r="L264" s="19">
        <f>SUM(F264:K264)</f>
        <v>84816.15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26822</v>
      </c>
      <c r="L266" s="19">
        <f t="shared" si="9"/>
        <v>26822</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88946.75</v>
      </c>
      <c r="L269" s="19">
        <f t="shared" si="9"/>
        <v>88946.75</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1459334.9</v>
      </c>
      <c r="L271" s="41">
        <f t="shared" si="9"/>
        <v>1459334.9</v>
      </c>
      <c r="M271" s="8"/>
      <c r="N271" s="264"/>
    </row>
    <row r="272" spans="1:14" s="34" customFormat="1" ht="12.2" customHeight="1" thickTop="1" x14ac:dyDescent="0.2">
      <c r="A272" s="43" t="s">
        <v>464</v>
      </c>
      <c r="B272" s="40">
        <v>10</v>
      </c>
      <c r="C272" s="40">
        <v>18</v>
      </c>
      <c r="D272" s="39" t="s">
        <v>431</v>
      </c>
      <c r="E272" s="40"/>
      <c r="F272" s="42">
        <f t="shared" ref="F272:L272" si="11">F258+F271</f>
        <v>9324744.75</v>
      </c>
      <c r="G272" s="42">
        <f t="shared" si="11"/>
        <v>5072170.5000000009</v>
      </c>
      <c r="H272" s="42">
        <f t="shared" si="11"/>
        <v>15714985.970000001</v>
      </c>
      <c r="I272" s="42">
        <f t="shared" si="11"/>
        <v>1055908.1100000001</v>
      </c>
      <c r="J272" s="42">
        <f t="shared" si="11"/>
        <v>83154.97</v>
      </c>
      <c r="K272" s="42">
        <f t="shared" si="11"/>
        <v>1474598.77</v>
      </c>
      <c r="L272" s="42">
        <f t="shared" si="11"/>
        <v>32725563.07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15672+20205.6+7160.14</f>
        <v>43037.74</v>
      </c>
      <c r="G277" s="18">
        <f>1179.62+2037.75+1540.31+3197.89+547.76</f>
        <v>8503.33</v>
      </c>
      <c r="H277" s="18">
        <f>499.54</f>
        <v>499.54</v>
      </c>
      <c r="I277" s="18">
        <f>48637.57+19074.56+67824.64+6737.12</f>
        <v>142273.89000000001</v>
      </c>
      <c r="J277" s="18">
        <f>100793.18</f>
        <v>100793.18</v>
      </c>
      <c r="K277" s="18"/>
      <c r="L277" s="19">
        <f>SUM(F277:K277)</f>
        <v>295107.68</v>
      </c>
      <c r="M277" s="8"/>
      <c r="N277" s="264"/>
    </row>
    <row r="278" spans="1:14" s="3" customFormat="1" ht="12.2" customHeight="1" x14ac:dyDescent="0.15">
      <c r="A278" s="1" t="s">
        <v>439</v>
      </c>
      <c r="B278" s="2" t="s">
        <v>357</v>
      </c>
      <c r="C278" s="2" t="s">
        <v>291</v>
      </c>
      <c r="D278" s="2" t="s">
        <v>431</v>
      </c>
      <c r="E278" s="6">
        <v>1200</v>
      </c>
      <c r="F278" s="18">
        <f>30035.87+624+71095.55</f>
        <v>101755.42</v>
      </c>
      <c r="G278" s="18">
        <f>6977.47+47.12+111.07+5301.56+4751.6</f>
        <v>17188.82</v>
      </c>
      <c r="H278" s="18">
        <f>1036.67+4890.12+33673.98</f>
        <v>39600.770000000004</v>
      </c>
      <c r="I278" s="18">
        <f>1027.84+22970.05+575.97</f>
        <v>24573.86</v>
      </c>
      <c r="J278" s="18"/>
      <c r="K278" s="18"/>
      <c r="L278" s="19">
        <f>SUM(F278:K278)</f>
        <v>183118.87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f>1920+2640.65</f>
        <v>4560.6499999999996</v>
      </c>
      <c r="I282" s="18">
        <f>372.96</f>
        <v>372.96</v>
      </c>
      <c r="J282" s="18"/>
      <c r="K282" s="18"/>
      <c r="L282" s="19">
        <f t="shared" ref="L282:L288" si="12">SUM(F282:K282)</f>
        <v>4933.6099999999997</v>
      </c>
      <c r="M282" s="8"/>
      <c r="N282" s="264"/>
    </row>
    <row r="283" spans="1:14" s="3" customFormat="1" ht="12.2" customHeight="1" x14ac:dyDescent="0.15">
      <c r="A283" s="1" t="s">
        <v>443</v>
      </c>
      <c r="B283" s="2" t="s">
        <v>357</v>
      </c>
      <c r="C283" s="2" t="s">
        <v>295</v>
      </c>
      <c r="D283" s="2" t="s">
        <v>431</v>
      </c>
      <c r="E283" s="6">
        <v>2200</v>
      </c>
      <c r="F283" s="18">
        <f>4620.61+2600+4752</f>
        <v>11972.61</v>
      </c>
      <c r="G283" s="18">
        <f>335.88+1.79+792.23+197.27+462.8+355.55+845.88</f>
        <v>2991.4</v>
      </c>
      <c r="H283" s="18">
        <f>4136.96</f>
        <v>4136.96</v>
      </c>
      <c r="I283" s="18"/>
      <c r="J283" s="18"/>
      <c r="K283" s="18">
        <f>542.59</f>
        <v>542.59</v>
      </c>
      <c r="L283" s="19">
        <f t="shared" si="12"/>
        <v>19643.560000000001</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f>735.91+1680.24+1668.59</f>
        <v>4084.74</v>
      </c>
      <c r="L286" s="19">
        <f t="shared" si="12"/>
        <v>4084.74</v>
      </c>
      <c r="M286" s="8"/>
      <c r="N286" s="264"/>
    </row>
    <row r="287" spans="1:14" s="3" customFormat="1" ht="12.2" customHeight="1" x14ac:dyDescent="0.15">
      <c r="A287" s="1" t="s">
        <v>447</v>
      </c>
      <c r="B287" s="2" t="s">
        <v>357</v>
      </c>
      <c r="C287" s="2" t="s">
        <v>299</v>
      </c>
      <c r="D287" s="2" t="s">
        <v>431</v>
      </c>
      <c r="E287" s="6">
        <v>2600</v>
      </c>
      <c r="F287" s="18"/>
      <c r="G287" s="18"/>
      <c r="H287" s="18">
        <f>18275.84+17577.12</f>
        <v>35852.959999999999</v>
      </c>
      <c r="I287" s="18">
        <f>516.22+33024.05</f>
        <v>33540.270000000004</v>
      </c>
      <c r="J287" s="18">
        <f>3545.57</f>
        <v>3545.57</v>
      </c>
      <c r="K287" s="18"/>
      <c r="L287" s="19">
        <f t="shared" si="12"/>
        <v>72938.800000000017</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f>3477.76</f>
        <v>3477.76</v>
      </c>
      <c r="I289" s="18"/>
      <c r="J289" s="18"/>
      <c r="K289" s="18"/>
      <c r="L289" s="19">
        <f>SUM(F289:K289)</f>
        <v>3477.76</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156765.77000000002</v>
      </c>
      <c r="G291" s="42">
        <f t="shared" si="13"/>
        <v>28683.550000000003</v>
      </c>
      <c r="H291" s="42">
        <f t="shared" si="13"/>
        <v>88128.639999999999</v>
      </c>
      <c r="I291" s="42">
        <f t="shared" si="13"/>
        <v>200760.97999999998</v>
      </c>
      <c r="J291" s="42">
        <f t="shared" si="13"/>
        <v>104338.75</v>
      </c>
      <c r="K291" s="42">
        <f t="shared" si="13"/>
        <v>4627.33</v>
      </c>
      <c r="L291" s="41">
        <f t="shared" si="13"/>
        <v>583305.02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8815.5+11365.65+4027.58</f>
        <v>24208.730000000003</v>
      </c>
      <c r="G296" s="18">
        <f>663.54+1146.23+866.43+1798.81+308.11</f>
        <v>4783.12</v>
      </c>
      <c r="H296" s="18">
        <f>280.99</f>
        <v>280.99</v>
      </c>
      <c r="I296" s="18">
        <f>4734.97+27358.63+10729.44+38151.36+3789.63</f>
        <v>84764.03</v>
      </c>
      <c r="J296" s="18">
        <f>8499.99+56696.17</f>
        <v>65196.159999999996</v>
      </c>
      <c r="K296" s="18"/>
      <c r="L296" s="19">
        <f>SUM(F296:K296)</f>
        <v>179233.03</v>
      </c>
      <c r="M296" s="8"/>
      <c r="N296" s="264"/>
    </row>
    <row r="297" spans="1:14" s="3" customFormat="1" ht="12.2" customHeight="1" x14ac:dyDescent="0.15">
      <c r="A297" s="1" t="s">
        <v>439</v>
      </c>
      <c r="B297" s="2" t="s">
        <v>358</v>
      </c>
      <c r="C297" s="2" t="s">
        <v>291</v>
      </c>
      <c r="D297" s="2" t="s">
        <v>431</v>
      </c>
      <c r="E297" s="6">
        <v>1200</v>
      </c>
      <c r="F297" s="18">
        <f>16895.17+351+39991.25</f>
        <v>57237.42</v>
      </c>
      <c r="G297" s="18">
        <f>1278.46+8.86+2637.51+62.48+2750.69+2982.12+2672.78+26.51</f>
        <v>12419.41</v>
      </c>
      <c r="H297" s="18">
        <f>239.4+343.73+18941.62</f>
        <v>19524.75</v>
      </c>
      <c r="I297" s="18">
        <f>6890+578.16+12920.65+323.98</f>
        <v>20712.789999999997</v>
      </c>
      <c r="J297" s="18"/>
      <c r="K297" s="18"/>
      <c r="L297" s="19">
        <f>SUM(F297:K297)</f>
        <v>109894.37</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2000</v>
      </c>
      <c r="G299" s="18"/>
      <c r="H299" s="18"/>
      <c r="I299" s="18"/>
      <c r="J299" s="18"/>
      <c r="K299" s="18"/>
      <c r="L299" s="19">
        <f>SUM(F299:K299)</f>
        <v>2000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f>1000+1485.37</f>
        <v>2485.37</v>
      </c>
      <c r="I301" s="18">
        <f>209.79</f>
        <v>209.79</v>
      </c>
      <c r="J301" s="18"/>
      <c r="K301" s="18"/>
      <c r="L301" s="19">
        <f t="shared" ref="L301:L307" si="14">SUM(F301:K301)</f>
        <v>2695.16</v>
      </c>
      <c r="M301" s="8"/>
      <c r="N301" s="264"/>
    </row>
    <row r="302" spans="1:14" s="3" customFormat="1" ht="12.2" customHeight="1" x14ac:dyDescent="0.15">
      <c r="A302" s="1" t="s">
        <v>443</v>
      </c>
      <c r="B302" s="2" t="s">
        <v>358</v>
      </c>
      <c r="C302" s="2" t="s">
        <v>295</v>
      </c>
      <c r="D302" s="2" t="s">
        <v>431</v>
      </c>
      <c r="E302" s="6">
        <v>2200</v>
      </c>
      <c r="F302" s="18">
        <f>2599.09+1462.5+2673</f>
        <v>6734.59</v>
      </c>
      <c r="G302" s="18">
        <f>188.93+1+445.63+110.97+260.32+200+475.8</f>
        <v>1682.6499999999999</v>
      </c>
      <c r="H302" s="18">
        <f>2327.04+1080</f>
        <v>3407.04</v>
      </c>
      <c r="I302" s="18"/>
      <c r="J302" s="18"/>
      <c r="K302" s="18"/>
      <c r="L302" s="19">
        <f t="shared" si="14"/>
        <v>11824.279999999999</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f>413.95+305.21+945.13+938.58</f>
        <v>2602.87</v>
      </c>
      <c r="L305" s="19">
        <f t="shared" si="14"/>
        <v>2602.87</v>
      </c>
      <c r="M305" s="8"/>
      <c r="N305" s="264"/>
    </row>
    <row r="306" spans="1:14" s="3" customFormat="1" ht="12.2" customHeight="1" x14ac:dyDescent="0.15">
      <c r="A306" s="1" t="s">
        <v>447</v>
      </c>
      <c r="B306" s="2" t="s">
        <v>358</v>
      </c>
      <c r="C306" s="2" t="s">
        <v>299</v>
      </c>
      <c r="D306" s="2" t="s">
        <v>431</v>
      </c>
      <c r="E306" s="6">
        <v>2600</v>
      </c>
      <c r="F306" s="18"/>
      <c r="G306" s="18"/>
      <c r="H306" s="18">
        <f>10280.16+9887.13</f>
        <v>20167.29</v>
      </c>
      <c r="I306" s="18">
        <f>290.38+18576.03</f>
        <v>18866.41</v>
      </c>
      <c r="J306" s="18">
        <f>1994.39</f>
        <v>1994.39</v>
      </c>
      <c r="K306" s="18"/>
      <c r="L306" s="19">
        <f t="shared" si="14"/>
        <v>41028.089999999997</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f>226.41+1956.24</f>
        <v>2182.65</v>
      </c>
      <c r="I308" s="18"/>
      <c r="J308" s="18"/>
      <c r="K308" s="18"/>
      <c r="L308" s="19">
        <f>SUM(F308:K308)</f>
        <v>2182.65</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90180.739999999991</v>
      </c>
      <c r="G310" s="42">
        <f t="shared" si="15"/>
        <v>18885.18</v>
      </c>
      <c r="H310" s="42">
        <f t="shared" si="15"/>
        <v>48048.090000000004</v>
      </c>
      <c r="I310" s="42">
        <f t="shared" si="15"/>
        <v>124553.01999999999</v>
      </c>
      <c r="J310" s="42">
        <f t="shared" si="15"/>
        <v>67190.55</v>
      </c>
      <c r="K310" s="42">
        <f t="shared" si="15"/>
        <v>2602.87</v>
      </c>
      <c r="L310" s="41">
        <f t="shared" si="15"/>
        <v>351460.44999999995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246946.51</v>
      </c>
      <c r="G339" s="41">
        <f t="shared" si="20"/>
        <v>47568.73</v>
      </c>
      <c r="H339" s="41">
        <f t="shared" si="20"/>
        <v>136176.73000000001</v>
      </c>
      <c r="I339" s="41">
        <f t="shared" si="20"/>
        <v>325314</v>
      </c>
      <c r="J339" s="41">
        <f t="shared" si="20"/>
        <v>171529.3</v>
      </c>
      <c r="K339" s="41">
        <f t="shared" si="20"/>
        <v>7230.2</v>
      </c>
      <c r="L339" s="41">
        <f t="shared" si="20"/>
        <v>934765.47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246946.51</v>
      </c>
      <c r="G353" s="41">
        <f>G339</f>
        <v>47568.73</v>
      </c>
      <c r="H353" s="41">
        <f>H339</f>
        <v>136176.73000000001</v>
      </c>
      <c r="I353" s="41">
        <f>I339</f>
        <v>325314</v>
      </c>
      <c r="J353" s="41">
        <f>J339</f>
        <v>171529.3</v>
      </c>
      <c r="K353" s="47">
        <f>K339+K352</f>
        <v>7230.2</v>
      </c>
      <c r="L353" s="41">
        <f>L339+L352</f>
        <v>934765.47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61333.03+12133.2+60230.22+32890.53</f>
        <v>166586.98000000001</v>
      </c>
      <c r="G359" s="18">
        <f>18578.69+18024.18+94.57</f>
        <v>36697.439999999995</v>
      </c>
      <c r="H359" s="18">
        <f>1362.5+226</f>
        <v>1588.5</v>
      </c>
      <c r="I359" s="18">
        <v>133454.66</v>
      </c>
      <c r="J359" s="18"/>
      <c r="K359" s="18">
        <v>441</v>
      </c>
      <c r="L359" s="13">
        <f>SUM(F359:K359)</f>
        <v>338768.58</v>
      </c>
      <c r="M359" s="8"/>
      <c r="N359" s="264"/>
    </row>
    <row r="360" spans="1:22" s="3" customFormat="1" ht="12.2" customHeight="1" x14ac:dyDescent="0.15">
      <c r="A360" s="1" t="s">
        <v>542</v>
      </c>
      <c r="B360" s="2" t="s">
        <v>366</v>
      </c>
      <c r="C360" s="6">
        <v>2</v>
      </c>
      <c r="D360" s="2" t="s">
        <v>431</v>
      </c>
      <c r="E360" s="6"/>
      <c r="F360" s="18">
        <f>2620+49801.38+19316.66</f>
        <v>71738.039999999994</v>
      </c>
      <c r="G360" s="18">
        <f>25932.09+1737.7+45+3947.83+2135.57+1747.75+55.54+10585.64</f>
        <v>46187.12</v>
      </c>
      <c r="H360" s="18">
        <f>1513.5</f>
        <v>1513.5</v>
      </c>
      <c r="I360" s="18">
        <v>78378.16</v>
      </c>
      <c r="J360" s="18"/>
      <c r="K360" s="18">
        <v>259</v>
      </c>
      <c r="L360" s="19">
        <f>SUM(F360:K360)</f>
        <v>198075.82</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238325.02000000002</v>
      </c>
      <c r="G363" s="47">
        <f t="shared" si="22"/>
        <v>82884.56</v>
      </c>
      <c r="H363" s="47">
        <f t="shared" si="22"/>
        <v>3102</v>
      </c>
      <c r="I363" s="47">
        <f t="shared" si="22"/>
        <v>211832.82</v>
      </c>
      <c r="J363" s="47">
        <f t="shared" si="22"/>
        <v>0</v>
      </c>
      <c r="K363" s="47">
        <f t="shared" si="22"/>
        <v>700</v>
      </c>
      <c r="L363" s="47">
        <f t="shared" si="22"/>
        <v>536844.4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91310.12</v>
      </c>
      <c r="G368" s="18">
        <v>53626.59</v>
      </c>
      <c r="H368" s="18"/>
      <c r="I368" s="56">
        <f>SUM(F368:H368)</f>
        <v>144936.71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42144.54</v>
      </c>
      <c r="G369" s="63">
        <v>24751.57</v>
      </c>
      <c r="H369" s="63"/>
      <c r="I369" s="56">
        <f>SUM(F369:H369)</f>
        <v>66896.11</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133454.66</v>
      </c>
      <c r="G370" s="47">
        <f>SUM(G368:G369)</f>
        <v>78378.16</v>
      </c>
      <c r="H370" s="47">
        <f>SUM(H368:H369)</f>
        <v>0</v>
      </c>
      <c r="I370" s="47">
        <f>SUM(I368:I369)</f>
        <v>211832.82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466822</v>
      </c>
      <c r="I380" s="18"/>
      <c r="J380" s="18"/>
      <c r="K380" s="18"/>
      <c r="L380" s="13">
        <f t="shared" si="23"/>
        <v>466822</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466822</v>
      </c>
      <c r="I383" s="41">
        <f t="shared" si="24"/>
        <v>0</v>
      </c>
      <c r="J383" s="47">
        <f t="shared" si="24"/>
        <v>0</v>
      </c>
      <c r="K383" s="47">
        <f t="shared" si="24"/>
        <v>0</v>
      </c>
      <c r="L383" s="47">
        <f t="shared" si="24"/>
        <v>466822</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5155.0600000000004</v>
      </c>
      <c r="I389" s="18"/>
      <c r="J389" s="24" t="s">
        <v>288</v>
      </c>
      <c r="K389" s="24" t="s">
        <v>288</v>
      </c>
      <c r="L389" s="56">
        <f t="shared" si="25"/>
        <v>5155.0600000000004</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5155.0600000000004</v>
      </c>
      <c r="I394" s="65">
        <f>SUM(I388:I393)</f>
        <v>0</v>
      </c>
      <c r="J394" s="45" t="s">
        <v>288</v>
      </c>
      <c r="K394" s="45" t="s">
        <v>288</v>
      </c>
      <c r="L394" s="47">
        <f>SUM(L388:L393)</f>
        <v>5155.0600000000004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100000</v>
      </c>
      <c r="H397" s="18">
        <v>1850.12</v>
      </c>
      <c r="I397" s="18"/>
      <c r="J397" s="24" t="s">
        <v>288</v>
      </c>
      <c r="K397" s="24" t="s">
        <v>288</v>
      </c>
      <c r="L397" s="56">
        <f t="shared" si="26"/>
        <v>101850.12</v>
      </c>
      <c r="M397" s="8"/>
      <c r="N397" s="264"/>
    </row>
    <row r="398" spans="1:14" s="3" customFormat="1" ht="12.2" customHeight="1" x14ac:dyDescent="0.15">
      <c r="A398" s="79" t="s">
        <v>515</v>
      </c>
      <c r="B398" s="2" t="s">
        <v>381</v>
      </c>
      <c r="C398" s="6">
        <v>10</v>
      </c>
      <c r="D398" s="2" t="s">
        <v>432</v>
      </c>
      <c r="E398" s="6"/>
      <c r="F398" s="18"/>
      <c r="G398" s="18"/>
      <c r="H398" s="18">
        <v>7754.85</v>
      </c>
      <c r="I398" s="18"/>
      <c r="J398" s="24" t="s">
        <v>288</v>
      </c>
      <c r="K398" s="24" t="s">
        <v>288</v>
      </c>
      <c r="L398" s="56">
        <f t="shared" si="26"/>
        <v>7754.85</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v>37.4</v>
      </c>
      <c r="I400" s="18"/>
      <c r="J400" s="24" t="s">
        <v>288</v>
      </c>
      <c r="K400" s="24" t="s">
        <v>288</v>
      </c>
      <c r="L400" s="56">
        <f t="shared" si="26"/>
        <v>37.4</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9642.3700000000008</v>
      </c>
      <c r="I402" s="47">
        <f>SUM(I396:I401)</f>
        <v>0</v>
      </c>
      <c r="J402" s="45" t="s">
        <v>288</v>
      </c>
      <c r="K402" s="45" t="s">
        <v>288</v>
      </c>
      <c r="L402" s="47">
        <f>SUM(L396:L401)</f>
        <v>109642.37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100000</v>
      </c>
      <c r="H409" s="47">
        <f>H394+H402+H408</f>
        <v>14797.43</v>
      </c>
      <c r="I409" s="47">
        <f>I394+I402+I408</f>
        <v>0</v>
      </c>
      <c r="J409" s="24" t="s">
        <v>288</v>
      </c>
      <c r="K409" s="24" t="s">
        <v>288</v>
      </c>
      <c r="L409" s="47">
        <f>L394+L402+L408</f>
        <v>114797.43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v>440000</v>
      </c>
      <c r="I415" s="18"/>
      <c r="J415" s="18"/>
      <c r="K415" s="18"/>
      <c r="L415" s="56">
        <f t="shared" si="27"/>
        <v>440000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440000</v>
      </c>
      <c r="I420" s="139">
        <f t="shared" si="28"/>
        <v>0</v>
      </c>
      <c r="J420" s="139">
        <f t="shared" si="28"/>
        <v>0</v>
      </c>
      <c r="K420" s="139">
        <f t="shared" si="28"/>
        <v>0</v>
      </c>
      <c r="L420" s="47">
        <f t="shared" si="28"/>
        <v>440000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440000</v>
      </c>
      <c r="I435" s="47">
        <f t="shared" si="32"/>
        <v>0</v>
      </c>
      <c r="J435" s="47">
        <f t="shared" si="32"/>
        <v>0</v>
      </c>
      <c r="K435" s="47">
        <f t="shared" si="32"/>
        <v>0</v>
      </c>
      <c r="L435" s="47">
        <f t="shared" si="32"/>
        <v>440000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19396.91</v>
      </c>
      <c r="G443" s="18">
        <v>399270.14</v>
      </c>
      <c r="H443" s="18"/>
      <c r="I443" s="56">
        <f t="shared" si="33"/>
        <v>418667.05</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19396.91</v>
      </c>
      <c r="G447" s="13">
        <f>SUM(G440:G446)</f>
        <v>399270.14</v>
      </c>
      <c r="H447" s="13">
        <f>SUM(H440:H446)</f>
        <v>0</v>
      </c>
      <c r="I447" s="13">
        <f>SUM(I440:I446)</f>
        <v>418667.05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19396.91</v>
      </c>
      <c r="G460" s="18">
        <v>399270.14</v>
      </c>
      <c r="H460" s="18"/>
      <c r="I460" s="56">
        <f t="shared" si="34"/>
        <v>418667.05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19396.91</v>
      </c>
      <c r="G461" s="83">
        <f>SUM(G455:G460)</f>
        <v>399270.14</v>
      </c>
      <c r="H461" s="83">
        <f>SUM(H455:H460)</f>
        <v>0</v>
      </c>
      <c r="I461" s="83">
        <f>SUM(I455:I460)</f>
        <v>418667.05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19396.91</v>
      </c>
      <c r="G462" s="42">
        <f>G453+G461</f>
        <v>399270.14</v>
      </c>
      <c r="H462" s="42">
        <f>H453+H461</f>
        <v>0</v>
      </c>
      <c r="I462" s="42">
        <f>I453+I461</f>
        <v>418667.05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1481337.92</v>
      </c>
      <c r="G466" s="18">
        <v>31848</v>
      </c>
      <c r="H466" s="18"/>
      <c r="I466" s="18"/>
      <c r="J466" s="18">
        <v>743869.62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33661326.659999996</v>
      </c>
      <c r="G469" s="18">
        <v>504996.4</v>
      </c>
      <c r="H469" s="18">
        <v>934765.47</v>
      </c>
      <c r="I469" s="18">
        <v>466822</v>
      </c>
      <c r="J469" s="18">
        <v>114797.43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33661326.659999996</v>
      </c>
      <c r="G471" s="53">
        <f>SUM(G469:G470)</f>
        <v>504996.4</v>
      </c>
      <c r="H471" s="53">
        <f>SUM(H469:H470)</f>
        <v>934765.47</v>
      </c>
      <c r="I471" s="53">
        <f>SUM(I469:I470)</f>
        <v>466822</v>
      </c>
      <c r="J471" s="53">
        <f>SUM(J469:J470)</f>
        <v>114797.43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32725563.07</v>
      </c>
      <c r="G473" s="18">
        <v>536844.4</v>
      </c>
      <c r="H473" s="18">
        <v>934765.47</v>
      </c>
      <c r="I473" s="18">
        <v>466822</v>
      </c>
      <c r="J473" s="18">
        <v>440000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32725563.07</v>
      </c>
      <c r="G475" s="53">
        <f>SUM(G473:G474)</f>
        <v>536844.4</v>
      </c>
      <c r="H475" s="53">
        <f>SUM(H473:H474)</f>
        <v>934765.47</v>
      </c>
      <c r="I475" s="53">
        <f>SUM(I473:I474)</f>
        <v>466822</v>
      </c>
      <c r="J475" s="53">
        <f>SUM(J473:J474)</f>
        <v>440000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2417101.5099999979</v>
      </c>
      <c r="G477" s="53">
        <f>(G466+G471)- G475</f>
        <v>0</v>
      </c>
      <c r="H477" s="53">
        <f>(H466+H471)- H475</f>
        <v>0</v>
      </c>
      <c r="I477" s="53">
        <f>(I466+I471)- I475</f>
        <v>0</v>
      </c>
      <c r="J477" s="53">
        <f>(J466+J471)- J475</f>
        <v>418667.05000000005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30732213.059999999</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4.51</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3090000</v>
      </c>
      <c r="G496" s="18"/>
      <c r="H496" s="18"/>
      <c r="I496" s="18"/>
      <c r="J496" s="18"/>
      <c r="K496" s="53">
        <f>SUM(F496:J496)</f>
        <v>3090000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1158750</v>
      </c>
      <c r="G498" s="18"/>
      <c r="H498" s="18"/>
      <c r="I498" s="18"/>
      <c r="J498" s="18"/>
      <c r="K498" s="53">
        <f t="shared" si="35"/>
        <v>1158750</v>
      </c>
      <c r="L498" s="24" t="s">
        <v>288</v>
      </c>
      <c r="N498" s="263"/>
    </row>
    <row r="499" spans="1:14" s="52" customFormat="1" ht="12.2" customHeight="1" x14ac:dyDescent="0.2">
      <c r="A499" s="200" t="s">
        <v>622</v>
      </c>
      <c r="B499" s="201">
        <v>20</v>
      </c>
      <c r="C499" s="202">
        <v>9</v>
      </c>
      <c r="D499" s="203" t="s">
        <v>432</v>
      </c>
      <c r="E499" s="202"/>
      <c r="F499" s="204">
        <v>2060000</v>
      </c>
      <c r="G499" s="204"/>
      <c r="H499" s="204"/>
      <c r="I499" s="204"/>
      <c r="J499" s="204"/>
      <c r="K499" s="205">
        <f t="shared" si="35"/>
        <v>2060000</v>
      </c>
      <c r="L499" s="206" t="s">
        <v>288</v>
      </c>
      <c r="N499" s="263"/>
    </row>
    <row r="500" spans="1:14" s="52" customFormat="1" ht="12.2" customHeight="1" thickBot="1" x14ac:dyDescent="0.25">
      <c r="A500" s="22" t="s">
        <v>623</v>
      </c>
      <c r="B500" s="75">
        <v>20</v>
      </c>
      <c r="C500" s="115">
        <v>10</v>
      </c>
      <c r="D500" s="2" t="s">
        <v>432</v>
      </c>
      <c r="E500" s="115"/>
      <c r="F500" s="18">
        <v>103000</v>
      </c>
      <c r="G500" s="18"/>
      <c r="H500" s="18"/>
      <c r="I500" s="18"/>
      <c r="J500" s="18"/>
      <c r="K500" s="53">
        <f t="shared" si="35"/>
        <v>103000</v>
      </c>
      <c r="L500" s="24" t="s">
        <v>288</v>
      </c>
      <c r="N500" s="263"/>
    </row>
    <row r="501" spans="1:14" s="52" customFormat="1" ht="12.2" customHeight="1" thickTop="1" x14ac:dyDescent="0.2">
      <c r="A501" s="139" t="s">
        <v>624</v>
      </c>
      <c r="B501" s="44">
        <v>20</v>
      </c>
      <c r="C501" s="195">
        <v>11</v>
      </c>
      <c r="D501" s="39" t="s">
        <v>432</v>
      </c>
      <c r="E501" s="195"/>
      <c r="F501" s="42">
        <f>SUM(F499:F500)</f>
        <v>2163000</v>
      </c>
      <c r="G501" s="42">
        <f>SUM(G499:G500)</f>
        <v>0</v>
      </c>
      <c r="H501" s="42">
        <f>SUM(H499:H500)</f>
        <v>0</v>
      </c>
      <c r="I501" s="42">
        <f>SUM(I499:I500)</f>
        <v>0</v>
      </c>
      <c r="J501" s="42">
        <f>SUM(J499:J500)</f>
        <v>0</v>
      </c>
      <c r="K501" s="42">
        <f t="shared" si="35"/>
        <v>2163000</v>
      </c>
      <c r="L501" s="45" t="s">
        <v>288</v>
      </c>
      <c r="N501" s="263"/>
    </row>
    <row r="502" spans="1:14" s="52" customFormat="1" ht="12.2" customHeight="1" x14ac:dyDescent="0.2">
      <c r="A502" s="200" t="s">
        <v>651</v>
      </c>
      <c r="B502" s="201">
        <v>20</v>
      </c>
      <c r="C502" s="202">
        <v>12</v>
      </c>
      <c r="D502" s="203" t="s">
        <v>432</v>
      </c>
      <c r="E502" s="202"/>
      <c r="F502" s="204">
        <v>1030000</v>
      </c>
      <c r="G502" s="204"/>
      <c r="H502" s="204"/>
      <c r="I502" s="204"/>
      <c r="J502" s="204"/>
      <c r="K502" s="205">
        <f t="shared" si="35"/>
        <v>1030000</v>
      </c>
      <c r="L502" s="206" t="s">
        <v>288</v>
      </c>
      <c r="N502" s="263"/>
    </row>
    <row r="503" spans="1:14" s="52" customFormat="1" ht="12.2" customHeight="1" thickBot="1" x14ac:dyDescent="0.25">
      <c r="A503" s="22" t="s">
        <v>625</v>
      </c>
      <c r="B503" s="75">
        <v>20</v>
      </c>
      <c r="C503" s="115">
        <v>13</v>
      </c>
      <c r="D503" s="2" t="s">
        <v>432</v>
      </c>
      <c r="E503" s="115"/>
      <c r="F503" s="18">
        <v>77250</v>
      </c>
      <c r="G503" s="18"/>
      <c r="H503" s="18"/>
      <c r="I503" s="18"/>
      <c r="J503" s="18"/>
      <c r="K503" s="53">
        <f t="shared" si="35"/>
        <v>77250</v>
      </c>
      <c r="L503" s="24" t="s">
        <v>288</v>
      </c>
      <c r="N503" s="263"/>
    </row>
    <row r="504" spans="1:14" s="52" customFormat="1" ht="12.2" customHeight="1" thickTop="1" x14ac:dyDescent="0.2">
      <c r="A504" s="139" t="s">
        <v>626</v>
      </c>
      <c r="B504" s="44">
        <v>20</v>
      </c>
      <c r="C504" s="195">
        <v>14</v>
      </c>
      <c r="D504" s="39" t="s">
        <v>432</v>
      </c>
      <c r="E504" s="195"/>
      <c r="F504" s="42">
        <f>SUM(F502:F503)</f>
        <v>1107250</v>
      </c>
      <c r="G504" s="42">
        <f>SUM(G502:G503)</f>
        <v>0</v>
      </c>
      <c r="H504" s="42">
        <f>SUM(H502:H503)</f>
        <v>0</v>
      </c>
      <c r="I504" s="42">
        <f>SUM(I502:I503)</f>
        <v>0</v>
      </c>
      <c r="J504" s="42">
        <f>SUM(J502:J503)</f>
        <v>0</v>
      </c>
      <c r="K504" s="42">
        <f t="shared" si="35"/>
        <v>1107250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262213.54+182447.45+30035.87+624+15672+71095.55+20205.6+7160.14</f>
        <v>589454.15</v>
      </c>
      <c r="G522" s="18">
        <f>184529.81+152535.82+6977.47+158.19+1179.62+2037.75+5301.56+4751.6+1540.31+3197.89+547.76</f>
        <v>362757.77999999997</v>
      </c>
      <c r="H522" s="18">
        <f>133351.3+1036.67+4890.12+499.54+33673.98</f>
        <v>173451.61000000002</v>
      </c>
      <c r="I522" s="18">
        <f>697.37+309.95+1027.84+22970.05+48637.57+19074.56+575.97+67824.64</f>
        <v>161117.95000000001</v>
      </c>
      <c r="J522" s="18">
        <f>100793.18</f>
        <v>100793.18</v>
      </c>
      <c r="K522" s="18">
        <f>1455</f>
        <v>1455</v>
      </c>
      <c r="L522" s="88">
        <f>SUM(F522:K522)</f>
        <v>1389029.67</v>
      </c>
      <c r="N522" s="263"/>
    </row>
    <row r="523" spans="1:14" s="52" customFormat="1" ht="12.2" customHeight="1" x14ac:dyDescent="0.2">
      <c r="A523" s="22" t="s">
        <v>634</v>
      </c>
      <c r="B523" s="105">
        <v>21</v>
      </c>
      <c r="C523" s="115">
        <v>2</v>
      </c>
      <c r="D523" s="2" t="s">
        <v>432</v>
      </c>
      <c r="E523" s="115"/>
      <c r="F523" s="18">
        <f>336461.51+16895.17351+8815.5+39991.25+11365.65+4027.58</f>
        <v>417556.66351000004</v>
      </c>
      <c r="G523" s="18">
        <f>242770.02+3924.83+26.51+62.48+663.54+1146.23+2982.12+2672.78+866.43+1798.81+308.11</f>
        <v>257221.86</v>
      </c>
      <c r="H523" s="18">
        <f>9710.58+104451.01+45.85+239.4+343.73+2750.69+280.99+18941.62</f>
        <v>136763.87</v>
      </c>
      <c r="I523" s="18">
        <f>1013.52+6890+4734.97+578.16+12920.65+27358.63+10729.44+323.98+38151.36</f>
        <v>102700.71000000002</v>
      </c>
      <c r="J523" s="18">
        <f>8499.99+56696.17</f>
        <v>65196.159999999996</v>
      </c>
      <c r="K523" s="18"/>
      <c r="L523" s="88">
        <f>SUM(F523:K523)</f>
        <v>979439.26351000008</v>
      </c>
      <c r="N523" s="263"/>
    </row>
    <row r="524" spans="1:14" s="52" customFormat="1" ht="12.2" customHeight="1" thickBot="1" x14ac:dyDescent="0.25">
      <c r="A524" s="22" t="s">
        <v>635</v>
      </c>
      <c r="B524" s="105">
        <v>21</v>
      </c>
      <c r="C524" s="115">
        <v>3</v>
      </c>
      <c r="D524" s="2" t="s">
        <v>432</v>
      </c>
      <c r="E524" s="115"/>
      <c r="F524" s="18"/>
      <c r="G524" s="18"/>
      <c r="H524" s="18">
        <f>3245687.67</f>
        <v>3245687.67</v>
      </c>
      <c r="I524" s="18"/>
      <c r="J524" s="18"/>
      <c r="K524" s="18"/>
      <c r="L524" s="88">
        <f>SUM(F524:K524)</f>
        <v>3245687.67</v>
      </c>
      <c r="N524" s="263"/>
    </row>
    <row r="525" spans="1:14" s="52" customFormat="1" ht="12.2" customHeight="1" thickTop="1" x14ac:dyDescent="0.2">
      <c r="A525" s="139" t="s">
        <v>63</v>
      </c>
      <c r="B525" s="107">
        <v>21</v>
      </c>
      <c r="C525" s="195">
        <v>4</v>
      </c>
      <c r="D525" s="196" t="s">
        <v>432</v>
      </c>
      <c r="E525" s="195"/>
      <c r="F525" s="108">
        <f>SUM(F522:F524)</f>
        <v>1007010.81351</v>
      </c>
      <c r="G525" s="108">
        <f t="shared" ref="G525:L525" si="36">SUM(G522:G524)</f>
        <v>619979.6399999999</v>
      </c>
      <c r="H525" s="108">
        <f t="shared" si="36"/>
        <v>3555903.15</v>
      </c>
      <c r="I525" s="108">
        <f t="shared" si="36"/>
        <v>263818.66000000003</v>
      </c>
      <c r="J525" s="108">
        <f t="shared" si="36"/>
        <v>165989.34</v>
      </c>
      <c r="K525" s="108">
        <f t="shared" si="36"/>
        <v>1455</v>
      </c>
      <c r="L525" s="89">
        <f t="shared" si="36"/>
        <v>5614156.6035099998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145213+55182.64</f>
        <v>200395.64</v>
      </c>
      <c r="G527" s="18">
        <f>223.2+90389.4+1411.23+25140.86</f>
        <v>117164.68999999999</v>
      </c>
      <c r="H527" s="18">
        <f>8821.48+65386.95+132220.83+360+50282.21+58623.1+168+96984.69+170315.19+140.8+43853.12</f>
        <v>627156.37</v>
      </c>
      <c r="I527" s="18">
        <f>23.2+67.68+30.94+400.36+413.97+537.8+372.96</f>
        <v>1846.91</v>
      </c>
      <c r="J527" s="18"/>
      <c r="K527" s="18"/>
      <c r="L527" s="88">
        <f>SUM(F527:K527)</f>
        <v>946563.61</v>
      </c>
      <c r="M527" s="8"/>
      <c r="N527" s="264"/>
    </row>
    <row r="528" spans="1:14" s="3" customFormat="1" ht="12.2" customHeight="1" x14ac:dyDescent="0.15">
      <c r="A528" s="22" t="s">
        <v>634</v>
      </c>
      <c r="B528" s="105">
        <v>21</v>
      </c>
      <c r="C528" s="115">
        <v>6</v>
      </c>
      <c r="D528" s="2" t="s">
        <v>432</v>
      </c>
      <c r="E528" s="115"/>
      <c r="F528" s="18">
        <f>82316+30350.45</f>
        <v>112666.45</v>
      </c>
      <c r="G528" s="18">
        <f>33169.26+122.76+13827.47</f>
        <v>47119.490000000005</v>
      </c>
      <c r="H528" s="18">
        <f>4851.81+198+81343.6+92.4+131929.2+77.44+15179.23</f>
        <v>233671.68000000002</v>
      </c>
      <c r="I528" s="18">
        <f>12.76+209.52+71.88+209.79</f>
        <v>503.94999999999993</v>
      </c>
      <c r="J528" s="18"/>
      <c r="K528" s="18"/>
      <c r="L528" s="88">
        <f>SUM(F528:K528)</f>
        <v>393961.57</v>
      </c>
      <c r="M528" s="8"/>
      <c r="N528" s="264"/>
    </row>
    <row r="529" spans="1:14" s="3" customFormat="1" ht="12.2" customHeight="1" thickBot="1" x14ac:dyDescent="0.2">
      <c r="A529" s="22" t="s">
        <v>635</v>
      </c>
      <c r="B529" s="118">
        <v>21</v>
      </c>
      <c r="C529" s="118">
        <v>7</v>
      </c>
      <c r="D529" s="2" t="s">
        <v>432</v>
      </c>
      <c r="E529" s="118"/>
      <c r="F529" s="18">
        <f>52423.5</f>
        <v>52423.5</v>
      </c>
      <c r="G529" s="18">
        <f>212.04+23883.82</f>
        <v>24095.86</v>
      </c>
      <c r="H529" s="18">
        <f>8380.41+487540.78+342+27301.55+159.6+46003.2+133.76+56304.15</f>
        <v>626165.44999999995</v>
      </c>
      <c r="I529" s="18">
        <f>22.04</f>
        <v>22.04</v>
      </c>
      <c r="J529" s="18"/>
      <c r="K529" s="18"/>
      <c r="L529" s="88">
        <f>SUM(F529:K529)</f>
        <v>702706.85</v>
      </c>
      <c r="M529" s="8"/>
      <c r="N529" s="264"/>
    </row>
    <row r="530" spans="1:14" s="3" customFormat="1" ht="12.2" customHeight="1" thickTop="1" x14ac:dyDescent="0.15">
      <c r="A530" s="139" t="s">
        <v>65</v>
      </c>
      <c r="B530" s="107">
        <v>21</v>
      </c>
      <c r="C530" s="107">
        <v>8</v>
      </c>
      <c r="D530" s="158" t="s">
        <v>432</v>
      </c>
      <c r="E530" s="107"/>
      <c r="F530" s="89">
        <f>SUM(F527:F529)</f>
        <v>365485.59</v>
      </c>
      <c r="G530" s="89">
        <f t="shared" ref="G530:L530" si="37">SUM(G527:G529)</f>
        <v>188380.03999999998</v>
      </c>
      <c r="H530" s="89">
        <f t="shared" si="37"/>
        <v>1486993.5</v>
      </c>
      <c r="I530" s="89">
        <f t="shared" si="37"/>
        <v>2372.9</v>
      </c>
      <c r="J530" s="89">
        <f t="shared" si="37"/>
        <v>0</v>
      </c>
      <c r="K530" s="89">
        <f t="shared" si="37"/>
        <v>0</v>
      </c>
      <c r="L530" s="89">
        <f t="shared" si="37"/>
        <v>2043232.0299999998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90478.82</v>
      </c>
      <c r="G532" s="18">
        <v>57590.79</v>
      </c>
      <c r="H532" s="18">
        <f>2847.97+221.4+56.25</f>
        <v>3125.62</v>
      </c>
      <c r="I532" s="18">
        <v>287.72000000000003</v>
      </c>
      <c r="J532" s="18">
        <f>652.8</f>
        <v>652.79999999999995</v>
      </c>
      <c r="K532" s="18"/>
      <c r="L532" s="88">
        <f>SUM(F532:K532)</f>
        <v>152135.75</v>
      </c>
      <c r="M532" s="8"/>
      <c r="N532" s="264"/>
    </row>
    <row r="533" spans="1:14" s="3" customFormat="1" ht="12.2" customHeight="1" x14ac:dyDescent="0.15">
      <c r="A533" s="22" t="s">
        <v>634</v>
      </c>
      <c r="B533" s="105">
        <v>21</v>
      </c>
      <c r="C533" s="105">
        <v>10</v>
      </c>
      <c r="D533" s="2" t="s">
        <v>432</v>
      </c>
      <c r="E533" s="105"/>
      <c r="F533" s="18">
        <v>49763.35</v>
      </c>
      <c r="G533" s="18">
        <v>31674.94</v>
      </c>
      <c r="H533" s="18">
        <f>1566.38</f>
        <v>1566.38</v>
      </c>
      <c r="I533" s="18">
        <f>158.25</f>
        <v>158.25</v>
      </c>
      <c r="J533" s="18">
        <f>359.04</f>
        <v>359.04</v>
      </c>
      <c r="K533" s="18"/>
      <c r="L533" s="88">
        <f>SUM(F533:K533)</f>
        <v>83521.959999999992</v>
      </c>
      <c r="M533" s="8"/>
      <c r="N533" s="264"/>
    </row>
    <row r="534" spans="1:14" s="3" customFormat="1" ht="12.2" customHeight="1" thickBot="1" x14ac:dyDescent="0.2">
      <c r="A534" s="22" t="s">
        <v>635</v>
      </c>
      <c r="B534" s="105">
        <v>21</v>
      </c>
      <c r="C534" s="105">
        <v>11</v>
      </c>
      <c r="D534" s="2" t="s">
        <v>432</v>
      </c>
      <c r="E534" s="105"/>
      <c r="F534" s="18">
        <f>85954.88+131965.9</f>
        <v>217920.78</v>
      </c>
      <c r="G534" s="18">
        <f>54711.25+59407.43</f>
        <v>114118.68</v>
      </c>
      <c r="H534" s="18">
        <f>2705.57</f>
        <v>2705.57</v>
      </c>
      <c r="I534" s="18">
        <f>273.35</f>
        <v>273.35000000000002</v>
      </c>
      <c r="J534" s="18">
        <f>620.16</f>
        <v>620.16</v>
      </c>
      <c r="K534" s="18"/>
      <c r="L534" s="88">
        <f>SUM(F534:K534)</f>
        <v>335638.53999999992</v>
      </c>
      <c r="M534" s="8"/>
      <c r="N534" s="264"/>
    </row>
    <row r="535" spans="1:14" s="3" customFormat="1" ht="12.2" customHeight="1" thickTop="1" x14ac:dyDescent="0.15">
      <c r="A535" s="139" t="s">
        <v>67</v>
      </c>
      <c r="B535" s="107">
        <v>21</v>
      </c>
      <c r="C535" s="107">
        <v>12</v>
      </c>
      <c r="D535" s="158" t="s">
        <v>432</v>
      </c>
      <c r="E535" s="107"/>
      <c r="F535" s="89">
        <f>SUM(F532:F534)</f>
        <v>358162.95</v>
      </c>
      <c r="G535" s="89">
        <f t="shared" ref="G535:L535" si="38">SUM(G532:G534)</f>
        <v>203384.40999999997</v>
      </c>
      <c r="H535" s="89">
        <f t="shared" si="38"/>
        <v>7397.57</v>
      </c>
      <c r="I535" s="89">
        <f t="shared" si="38"/>
        <v>719.32</v>
      </c>
      <c r="J535" s="89">
        <f t="shared" si="38"/>
        <v>1632</v>
      </c>
      <c r="K535" s="89">
        <f t="shared" si="38"/>
        <v>0</v>
      </c>
      <c r="L535" s="89">
        <f t="shared" si="38"/>
        <v>571296.24999999988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28608.22</v>
      </c>
      <c r="I537" s="18"/>
      <c r="J537" s="18"/>
      <c r="K537" s="18"/>
      <c r="L537" s="88">
        <f>SUM(F537:K537)</f>
        <v>28608.22</v>
      </c>
      <c r="M537" s="8"/>
      <c r="N537" s="264"/>
    </row>
    <row r="538" spans="1:14" s="3" customFormat="1" ht="12.2" customHeight="1" x14ac:dyDescent="0.15">
      <c r="A538" s="22" t="s">
        <v>634</v>
      </c>
      <c r="B538" s="105">
        <v>21</v>
      </c>
      <c r="C538" s="105">
        <v>14</v>
      </c>
      <c r="D538" s="2" t="s">
        <v>432</v>
      </c>
      <c r="E538" s="105"/>
      <c r="F538" s="18"/>
      <c r="G538" s="18"/>
      <c r="H538" s="18">
        <v>16092.12</v>
      </c>
      <c r="I538" s="18"/>
      <c r="J538" s="18"/>
      <c r="K538" s="18"/>
      <c r="L538" s="88">
        <f>SUM(F538:K538)</f>
        <v>16092.12</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44700.340000000004</v>
      </c>
      <c r="I540" s="89">
        <f t="shared" si="39"/>
        <v>0</v>
      </c>
      <c r="J540" s="89">
        <f t="shared" si="39"/>
        <v>0</v>
      </c>
      <c r="K540" s="89">
        <f t="shared" si="39"/>
        <v>0</v>
      </c>
      <c r="L540" s="89">
        <f t="shared" si="39"/>
        <v>44700.340000000004</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251384.43</v>
      </c>
      <c r="I542" s="18"/>
      <c r="J542" s="18"/>
      <c r="K542" s="18"/>
      <c r="L542" s="88">
        <f>SUM(F542:K542)</f>
        <v>251384.43</v>
      </c>
      <c r="M542" s="8"/>
      <c r="N542" s="264"/>
    </row>
    <row r="543" spans="1:14" s="3" customFormat="1" ht="12.2" customHeight="1" x14ac:dyDescent="0.15">
      <c r="A543" s="22" t="s">
        <v>634</v>
      </c>
      <c r="B543" s="105">
        <v>21</v>
      </c>
      <c r="C543" s="105">
        <v>18</v>
      </c>
      <c r="D543" s="2" t="s">
        <v>432</v>
      </c>
      <c r="E543" s="105"/>
      <c r="F543" s="18"/>
      <c r="G543" s="18"/>
      <c r="H543" s="18">
        <v>138261.43</v>
      </c>
      <c r="I543" s="18"/>
      <c r="J543" s="18"/>
      <c r="K543" s="18"/>
      <c r="L543" s="88">
        <f>SUM(F543:K543)</f>
        <v>138261.43</v>
      </c>
      <c r="M543" s="8"/>
      <c r="N543" s="264"/>
    </row>
    <row r="544" spans="1:14" s="3" customFormat="1" ht="12.2" customHeight="1" thickBot="1" x14ac:dyDescent="0.2">
      <c r="A544" s="22" t="s">
        <v>635</v>
      </c>
      <c r="B544" s="105">
        <v>21</v>
      </c>
      <c r="C544" s="105">
        <v>19</v>
      </c>
      <c r="D544" s="2" t="s">
        <v>432</v>
      </c>
      <c r="E544" s="105"/>
      <c r="F544" s="18"/>
      <c r="G544" s="18"/>
      <c r="H544" s="18">
        <v>238815.21</v>
      </c>
      <c r="I544" s="18"/>
      <c r="J544" s="18"/>
      <c r="K544" s="18"/>
      <c r="L544" s="88">
        <f>SUM(F544:K544)</f>
        <v>238815.21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628461.06999999995</v>
      </c>
      <c r="I545" s="193">
        <f t="shared" si="40"/>
        <v>0</v>
      </c>
      <c r="J545" s="193">
        <f t="shared" si="40"/>
        <v>0</v>
      </c>
      <c r="K545" s="193">
        <f t="shared" si="40"/>
        <v>0</v>
      </c>
      <c r="L545" s="193">
        <f t="shared" si="40"/>
        <v>628461.06999999995</v>
      </c>
      <c r="M545" s="8"/>
      <c r="N545" s="264"/>
    </row>
    <row r="546" spans="1:14" s="3" customFormat="1" ht="12.2" customHeight="1" thickTop="1" x14ac:dyDescent="0.15">
      <c r="A546" s="98" t="s">
        <v>72</v>
      </c>
      <c r="B546" s="107">
        <v>21</v>
      </c>
      <c r="C546" s="107">
        <v>21</v>
      </c>
      <c r="D546" s="158" t="s">
        <v>432</v>
      </c>
      <c r="E546" s="107"/>
      <c r="F546" s="89">
        <f>F525+F530+F535+F540+F545</f>
        <v>1730659.35351</v>
      </c>
      <c r="G546" s="89">
        <f t="shared" ref="G546:L546" si="41">G525+G530+G535+G540+G545</f>
        <v>1011744.0899999999</v>
      </c>
      <c r="H546" s="89">
        <f t="shared" si="41"/>
        <v>5723455.6300000008</v>
      </c>
      <c r="I546" s="89">
        <f t="shared" si="41"/>
        <v>266910.88000000006</v>
      </c>
      <c r="J546" s="89">
        <f t="shared" si="41"/>
        <v>167621.34</v>
      </c>
      <c r="K546" s="89">
        <f t="shared" si="41"/>
        <v>1455</v>
      </c>
      <c r="L546" s="89">
        <f t="shared" si="41"/>
        <v>8901846.2935099993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1389029.67</v>
      </c>
      <c r="G550" s="87">
        <f>L527</f>
        <v>946563.61</v>
      </c>
      <c r="H550" s="87">
        <f>L532</f>
        <v>152135.75</v>
      </c>
      <c r="I550" s="87">
        <f>L537</f>
        <v>28608.22</v>
      </c>
      <c r="J550" s="87">
        <f>L542</f>
        <v>251384.43</v>
      </c>
      <c r="K550" s="87">
        <f>SUM(F550:J550)</f>
        <v>2767721.68</v>
      </c>
      <c r="L550" s="24" t="s">
        <v>288</v>
      </c>
      <c r="M550" s="8"/>
      <c r="N550" s="264"/>
    </row>
    <row r="551" spans="1:14" s="3" customFormat="1" ht="12.2" customHeight="1" x14ac:dyDescent="0.15">
      <c r="A551" s="22" t="s">
        <v>634</v>
      </c>
      <c r="B551" s="75">
        <v>21</v>
      </c>
      <c r="C551" s="75">
        <v>23</v>
      </c>
      <c r="D551" s="2" t="s">
        <v>432</v>
      </c>
      <c r="E551" s="75"/>
      <c r="F551" s="87">
        <f>L523</f>
        <v>979439.26351000008</v>
      </c>
      <c r="G551" s="87">
        <f>L528</f>
        <v>393961.57</v>
      </c>
      <c r="H551" s="87">
        <f>L533</f>
        <v>83521.959999999992</v>
      </c>
      <c r="I551" s="87">
        <f>L538</f>
        <v>16092.12</v>
      </c>
      <c r="J551" s="87">
        <f>L543</f>
        <v>138261.43</v>
      </c>
      <c r="K551" s="87">
        <f>SUM(F551:J551)</f>
        <v>1611276.34351</v>
      </c>
      <c r="L551" s="24" t="s">
        <v>288</v>
      </c>
      <c r="M551" s="8"/>
      <c r="N551" s="264"/>
    </row>
    <row r="552" spans="1:14" s="3" customFormat="1" ht="12.2" customHeight="1" thickBot="1" x14ac:dyDescent="0.2">
      <c r="A552" s="22" t="s">
        <v>635</v>
      </c>
      <c r="B552" s="75">
        <v>21</v>
      </c>
      <c r="C552" s="75">
        <v>24</v>
      </c>
      <c r="D552" s="2" t="s">
        <v>432</v>
      </c>
      <c r="E552" s="75"/>
      <c r="F552" s="87">
        <f>L524</f>
        <v>3245687.67</v>
      </c>
      <c r="G552" s="87">
        <f>L529</f>
        <v>702706.85</v>
      </c>
      <c r="H552" s="87">
        <f>L534</f>
        <v>335638.53999999992</v>
      </c>
      <c r="I552" s="87">
        <f>L539</f>
        <v>0</v>
      </c>
      <c r="J552" s="87">
        <f>L544</f>
        <v>238815.21</v>
      </c>
      <c r="K552" s="87">
        <f>SUM(F552:J552)</f>
        <v>4522848.2699999996</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5614156.6035099998</v>
      </c>
      <c r="G553" s="89">
        <f t="shared" si="42"/>
        <v>2043232.0299999998</v>
      </c>
      <c r="H553" s="89">
        <f t="shared" si="42"/>
        <v>571296.24999999988</v>
      </c>
      <c r="I553" s="89">
        <f t="shared" si="42"/>
        <v>44700.340000000004</v>
      </c>
      <c r="J553" s="89">
        <f t="shared" si="42"/>
        <v>628461.06999999995</v>
      </c>
      <c r="K553" s="89">
        <f t="shared" si="42"/>
        <v>8901846.2935099993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112053</v>
      </c>
      <c r="G563" s="18">
        <v>48193.81</v>
      </c>
      <c r="H563" s="18">
        <f>954</f>
        <v>954</v>
      </c>
      <c r="I563" s="18">
        <v>457.02</v>
      </c>
      <c r="J563" s="18"/>
      <c r="K563" s="18"/>
      <c r="L563" s="88">
        <f>SUM(F563:K563)</f>
        <v>161657.82999999999</v>
      </c>
      <c r="M563" s="8"/>
      <c r="N563" s="264"/>
    </row>
    <row r="564" spans="1:14" s="3" customFormat="1" ht="12.2" customHeight="1" x14ac:dyDescent="0.15">
      <c r="A564" s="22" t="s">
        <v>634</v>
      </c>
      <c r="B564" s="105">
        <v>22</v>
      </c>
      <c r="C564" s="115">
        <v>6</v>
      </c>
      <c r="D564" s="2" t="s">
        <v>432</v>
      </c>
      <c r="E564" s="115"/>
      <c r="F564" s="18">
        <v>43182.9</v>
      </c>
      <c r="G564" s="18">
        <v>28412.14</v>
      </c>
      <c r="H564" s="18">
        <v>636</v>
      </c>
      <c r="I564" s="18">
        <v>281</v>
      </c>
      <c r="J564" s="18"/>
      <c r="K564" s="18"/>
      <c r="L564" s="88">
        <f>SUM(F564:K564)</f>
        <v>72512.040000000008</v>
      </c>
      <c r="M564" s="8"/>
      <c r="N564" s="264"/>
    </row>
    <row r="565" spans="1:14" s="3" customFormat="1" ht="12.2" customHeight="1" thickBot="1" x14ac:dyDescent="0.2">
      <c r="A565" s="22" t="s">
        <v>635</v>
      </c>
      <c r="B565" s="105">
        <v>22</v>
      </c>
      <c r="C565" s="118">
        <v>7</v>
      </c>
      <c r="D565" s="2" t="s">
        <v>432</v>
      </c>
      <c r="E565" s="118"/>
      <c r="F565" s="18"/>
      <c r="G565" s="18"/>
      <c r="H565" s="18">
        <v>319.23</v>
      </c>
      <c r="I565" s="18"/>
      <c r="J565" s="18"/>
      <c r="K565" s="18"/>
      <c r="L565" s="88">
        <f>SUM(F565:K565)</f>
        <v>319.23</v>
      </c>
      <c r="M565" s="8"/>
      <c r="N565" s="264"/>
    </row>
    <row r="566" spans="1:14" s="3" customFormat="1" ht="12.2" customHeight="1" thickTop="1" x14ac:dyDescent="0.15">
      <c r="A566" s="139" t="s">
        <v>65</v>
      </c>
      <c r="B566" s="107">
        <v>22</v>
      </c>
      <c r="C566" s="107">
        <v>8</v>
      </c>
      <c r="D566" s="196" t="s">
        <v>432</v>
      </c>
      <c r="E566" s="107"/>
      <c r="F566" s="89">
        <f t="shared" ref="F566:L566" si="44">SUM(F563:F565)</f>
        <v>155235.9</v>
      </c>
      <c r="G566" s="89">
        <f t="shared" si="44"/>
        <v>76605.95</v>
      </c>
      <c r="H566" s="89">
        <f t="shared" si="44"/>
        <v>1909.23</v>
      </c>
      <c r="I566" s="89">
        <f t="shared" si="44"/>
        <v>738.02</v>
      </c>
      <c r="J566" s="89">
        <f t="shared" si="44"/>
        <v>0</v>
      </c>
      <c r="K566" s="89">
        <f t="shared" si="44"/>
        <v>0</v>
      </c>
      <c r="L566" s="89">
        <f t="shared" si="44"/>
        <v>234489.1</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f>115.34</f>
        <v>115.34</v>
      </c>
      <c r="J568" s="18"/>
      <c r="K568" s="18">
        <f>325</f>
        <v>325</v>
      </c>
      <c r="L568" s="88">
        <f>SUM(F568:K568)</f>
        <v>440.34000000000003</v>
      </c>
      <c r="M568" s="8"/>
      <c r="N568" s="264"/>
    </row>
    <row r="569" spans="1:14" s="3" customFormat="1" ht="12.2" customHeight="1" x14ac:dyDescent="0.15">
      <c r="A569" s="22" t="s">
        <v>634</v>
      </c>
      <c r="B569" s="105">
        <v>22</v>
      </c>
      <c r="C569" s="105">
        <v>10</v>
      </c>
      <c r="D569" s="2" t="s">
        <v>432</v>
      </c>
      <c r="E569" s="105"/>
      <c r="F569" s="18">
        <f>147950</f>
        <v>147950</v>
      </c>
      <c r="G569" s="18">
        <f>59271.5</f>
        <v>59271.5</v>
      </c>
      <c r="H569" s="18">
        <v>1763.96</v>
      </c>
      <c r="I569" s="18"/>
      <c r="J569" s="18"/>
      <c r="K569" s="18"/>
      <c r="L569" s="88">
        <f>SUM(F569:K569)</f>
        <v>208985.46</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147950</v>
      </c>
      <c r="G571" s="193">
        <f t="shared" ref="G571:L571" si="45">SUM(G568:G570)</f>
        <v>59271.5</v>
      </c>
      <c r="H571" s="193">
        <f t="shared" si="45"/>
        <v>1763.96</v>
      </c>
      <c r="I571" s="193">
        <f t="shared" si="45"/>
        <v>115.34</v>
      </c>
      <c r="J571" s="193">
        <f t="shared" si="45"/>
        <v>0</v>
      </c>
      <c r="K571" s="193">
        <f t="shared" si="45"/>
        <v>325</v>
      </c>
      <c r="L571" s="193">
        <f t="shared" si="45"/>
        <v>209425.8</v>
      </c>
      <c r="M571" s="8"/>
      <c r="N571" s="264"/>
    </row>
    <row r="572" spans="1:14" s="3" customFormat="1" ht="12.2" customHeight="1" thickTop="1" x14ac:dyDescent="0.15">
      <c r="A572" s="98" t="s">
        <v>88</v>
      </c>
      <c r="B572" s="107">
        <v>22</v>
      </c>
      <c r="C572" s="107">
        <v>13</v>
      </c>
      <c r="D572" s="158" t="s">
        <v>432</v>
      </c>
      <c r="E572" s="107"/>
      <c r="F572" s="89">
        <f>F561+F566+F571</f>
        <v>303185.90000000002</v>
      </c>
      <c r="G572" s="89">
        <f t="shared" ref="G572:L572" si="46">G561+G566+G571</f>
        <v>135877.45000000001</v>
      </c>
      <c r="H572" s="89">
        <f t="shared" si="46"/>
        <v>3673.19</v>
      </c>
      <c r="I572" s="89">
        <f t="shared" si="46"/>
        <v>853.36</v>
      </c>
      <c r="J572" s="89">
        <f t="shared" si="46"/>
        <v>0</v>
      </c>
      <c r="K572" s="89">
        <f t="shared" si="46"/>
        <v>325</v>
      </c>
      <c r="L572" s="89">
        <f t="shared" si="46"/>
        <v>443914.9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2220150.5499999998</v>
      </c>
      <c r="I576" s="87">
        <f>SUM(F576:H576)</f>
        <v>2220150.5499999998</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4941296.93</v>
      </c>
      <c r="I578" s="87">
        <f t="shared" si="47"/>
        <v>4941296.93</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468761.78</v>
      </c>
      <c r="I580" s="87">
        <f t="shared" si="47"/>
        <v>468761.78</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v>319835.65000000002</v>
      </c>
      <c r="I581" s="87">
        <f t="shared" si="47"/>
        <v>319835.65000000002</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f>1757248.2+1763.96</f>
        <v>1759012.16</v>
      </c>
      <c r="I582" s="87">
        <f t="shared" si="47"/>
        <v>1759012.16</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133351.29999999999</v>
      </c>
      <c r="G583" s="18">
        <f>9710.58+4700</f>
        <v>14410.58</v>
      </c>
      <c r="H583" s="18">
        <f>699842.04+12336.64</f>
        <v>712178.68</v>
      </c>
      <c r="I583" s="87">
        <f t="shared" si="47"/>
        <v>859940.56</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443459.43</v>
      </c>
      <c r="I592" s="18">
        <v>259586.01</v>
      </c>
      <c r="J592" s="18">
        <v>378562.92</v>
      </c>
      <c r="K592" s="104">
        <f t="shared" ref="K592:K598" si="48">SUM(H592:J592)</f>
        <v>1081608.3599999999</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251384.43</v>
      </c>
      <c r="I593" s="18">
        <v>138261.43</v>
      </c>
      <c r="J593" s="18">
        <v>238815.21</v>
      </c>
      <c r="K593" s="104">
        <f t="shared" si="48"/>
        <v>628461.06999999995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v>13000.74</v>
      </c>
      <c r="J596" s="18"/>
      <c r="K596" s="104">
        <f t="shared" si="48"/>
        <v>13000.74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694843.86</v>
      </c>
      <c r="I599" s="108">
        <f>SUM(I592:I598)</f>
        <v>410848.18</v>
      </c>
      <c r="J599" s="108">
        <f>SUM(J592:J598)</f>
        <v>617378.13</v>
      </c>
      <c r="K599" s="108">
        <f>SUM(K592:K598)</f>
        <v>1723070.1699999997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37894.99+109.99+232.56+1044.47+157489.35+5539.96+13132.47</f>
        <v>215443.78999999998</v>
      </c>
      <c r="I605" s="18">
        <f>18377.02+928.81+241.2+219+655.95+2343.99+587.52+8499.99+7387</f>
        <v>39240.480000000003</v>
      </c>
      <c r="J605" s="18"/>
      <c r="K605" s="104">
        <f>SUM(H605:J605)</f>
        <v>254684.27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215443.78999999998</v>
      </c>
      <c r="I606" s="108">
        <f>SUM(I603:I605)</f>
        <v>39240.480000000003</v>
      </c>
      <c r="J606" s="108">
        <f>SUM(J603:J605)</f>
        <v>0</v>
      </c>
      <c r="K606" s="108">
        <f>SUM(K603:K605)</f>
        <v>254684.27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15672+2600</f>
        <v>18272</v>
      </c>
      <c r="G612" s="18">
        <f>3877.44</f>
        <v>3877.44</v>
      </c>
      <c r="H612" s="18"/>
      <c r="I612" s="18"/>
      <c r="J612" s="18"/>
      <c r="K612" s="18"/>
      <c r="L612" s="88">
        <f>SUM(F612:K612)</f>
        <v>22149.439999999999</v>
      </c>
      <c r="M612" s="8"/>
      <c r="N612" s="264"/>
    </row>
    <row r="613" spans="1:14" s="3" customFormat="1" ht="12.2" customHeight="1" x14ac:dyDescent="0.15">
      <c r="A613" s="22" t="s">
        <v>634</v>
      </c>
      <c r="B613" s="75">
        <v>23</v>
      </c>
      <c r="C613" s="75">
        <v>14</v>
      </c>
      <c r="D613" s="2" t="s">
        <v>432</v>
      </c>
      <c r="E613" s="75"/>
      <c r="F613" s="18">
        <f>8815.5+1462.5</f>
        <v>10278</v>
      </c>
      <c r="G613" s="18">
        <v>2181.06</v>
      </c>
      <c r="H613" s="18"/>
      <c r="I613" s="18">
        <v>805.25</v>
      </c>
      <c r="J613" s="18"/>
      <c r="K613" s="18"/>
      <c r="L613" s="88">
        <f>SUM(F613:K613)</f>
        <v>13264.31</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28550</v>
      </c>
      <c r="G615" s="108">
        <f t="shared" si="49"/>
        <v>6058.5</v>
      </c>
      <c r="H615" s="108">
        <f t="shared" si="49"/>
        <v>0</v>
      </c>
      <c r="I615" s="108">
        <f t="shared" si="49"/>
        <v>805.25</v>
      </c>
      <c r="J615" s="108">
        <f t="shared" si="49"/>
        <v>0</v>
      </c>
      <c r="K615" s="108">
        <f t="shared" si="49"/>
        <v>0</v>
      </c>
      <c r="L615" s="89">
        <f t="shared" si="49"/>
        <v>35413.75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2969039.0799999996</v>
      </c>
      <c r="H618" s="109">
        <f>SUM(F52)</f>
        <v>2969039.0799999996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92656.24</v>
      </c>
      <c r="H619" s="109">
        <f>SUM(G52)</f>
        <v>92656.24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258790.23</v>
      </c>
      <c r="H620" s="109">
        <f>SUM(H52)</f>
        <v>258790.23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418667.05</v>
      </c>
      <c r="H622" s="109">
        <f>SUM(J52)</f>
        <v>418667.05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2417101.5099999998</v>
      </c>
      <c r="H623" s="109">
        <f>F477</f>
        <v>2417101.5099999979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418667.05</v>
      </c>
      <c r="H627" s="109">
        <f>J477</f>
        <v>418667.05000000005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33661326.660000004</v>
      </c>
      <c r="H628" s="104">
        <f>SUM(F469)</f>
        <v>33661326.659999996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504996.4</v>
      </c>
      <c r="H629" s="104">
        <f>SUM(G469)</f>
        <v>504996.4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934765.47</v>
      </c>
      <c r="H630" s="104">
        <f>SUM(H469)</f>
        <v>934765.47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466822</v>
      </c>
      <c r="H631" s="104">
        <f>SUM(I469)</f>
        <v>466822</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114797.43</v>
      </c>
      <c r="H632" s="104">
        <f>SUM(J469)</f>
        <v>114797.43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32725563.07</v>
      </c>
      <c r="H633" s="104">
        <f>SUM(F473)</f>
        <v>32725563.07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934765.47</v>
      </c>
      <c r="H634" s="104">
        <f>SUM(H473)</f>
        <v>934765.47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211832.82</v>
      </c>
      <c r="H635" s="104">
        <f>I370</f>
        <v>211832.82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536844.4</v>
      </c>
      <c r="H636" s="104">
        <f>SUM(G473)</f>
        <v>536844.4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466822</v>
      </c>
      <c r="H637" s="104">
        <f>SUM(I473)</f>
        <v>466822</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114797.43</v>
      </c>
      <c r="H638" s="164">
        <f>SUM(J469)</f>
        <v>114797.43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440000</v>
      </c>
      <c r="H639" s="164">
        <f>SUM(J473)</f>
        <v>440000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19396.91</v>
      </c>
      <c r="H640" s="104">
        <f>SUM(F462)</f>
        <v>19396.91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399270.14</v>
      </c>
      <c r="H641" s="104">
        <f>SUM(G462)</f>
        <v>399270.14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418667.05</v>
      </c>
      <c r="H643" s="104">
        <f>SUM(I462)</f>
        <v>418667.05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14797.43</v>
      </c>
      <c r="H645" s="104">
        <f>H409</f>
        <v>14797.43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114797.43</v>
      </c>
      <c r="H647" s="104">
        <f>L409</f>
        <v>114797.43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1723070.1699999997</v>
      </c>
      <c r="H648" s="104">
        <f>L209+L227+L245</f>
        <v>1723070.17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254684.27</v>
      </c>
      <c r="H649" s="104">
        <f>(J258+J339)-(J256+J337)</f>
        <v>254684.27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694843.86</v>
      </c>
      <c r="H650" s="104">
        <f>H599</f>
        <v>694843.86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410848.18</v>
      </c>
      <c r="H651" s="104">
        <f>I599</f>
        <v>410848.18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617378.13</v>
      </c>
      <c r="H652" s="104">
        <f>J599</f>
        <v>617378.13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84816.15</v>
      </c>
      <c r="H653" s="104">
        <f>K264+K346</f>
        <v>84816.15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26822</v>
      </c>
      <c r="H655" s="104">
        <f>K266+K347</f>
        <v>26822</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12685224.82</v>
      </c>
      <c r="G661" s="19">
        <f>(L230+L310+L360)</f>
        <v>7983118.3100000005</v>
      </c>
      <c r="H661" s="19">
        <f>(L248+L329+L361)</f>
        <v>12056494.91</v>
      </c>
      <c r="I661" s="19">
        <f>SUM(F661:H661)</f>
        <v>32724838.040000003</v>
      </c>
      <c r="J661" s="13"/>
      <c r="K661" s="13"/>
      <c r="L661" s="13"/>
      <c r="M661" s="9"/>
    </row>
    <row r="662" spans="1:13" s="3" customFormat="1" ht="12.2" customHeight="1" x14ac:dyDescent="0.2">
      <c r="A662" s="1" t="s">
        <v>127</v>
      </c>
      <c r="F662" s="19">
        <f>(L359/IF(SUM(L359:L361)=0,1,SUM(L359:L361))*(SUM(G97:G110)))</f>
        <v>47744.914275895964</v>
      </c>
      <c r="G662" s="19">
        <f>(L360/IF(SUM(L359:L361)=0,1,SUM(L359:L361))*(SUM(G97:G110)))</f>
        <v>27916.145724104044</v>
      </c>
      <c r="H662" s="19">
        <f>(L361/IF(SUM(L359:L361)=0,1,SUM(L359:L361))*(SUM(G97:G110)))</f>
        <v>0</v>
      </c>
      <c r="I662" s="19">
        <f>SUM(F662:H662)</f>
        <v>75661.060000000012</v>
      </c>
      <c r="J662"/>
      <c r="K662" s="13"/>
      <c r="L662" s="13"/>
      <c r="M662" s="8"/>
    </row>
    <row r="663" spans="1:13" s="3" customFormat="1" ht="12.2" customHeight="1" x14ac:dyDescent="0.2">
      <c r="A663" s="1" t="s">
        <v>128</v>
      </c>
      <c r="F663" s="19">
        <f>(L209+L288)-(J209+J288)</f>
        <v>694843.86</v>
      </c>
      <c r="G663" s="19">
        <f>(L227+L307)-(J227+J307)</f>
        <v>410848.18</v>
      </c>
      <c r="H663" s="19">
        <f>(L245+L326)-(J245+J326)</f>
        <v>617378.13</v>
      </c>
      <c r="I663" s="19">
        <f>SUM(F663:H663)</f>
        <v>1723070.17</v>
      </c>
      <c r="J663"/>
      <c r="K663" s="13"/>
      <c r="L663" s="13"/>
      <c r="M663" s="9"/>
    </row>
    <row r="664" spans="1:13" s="3" customFormat="1" ht="12.2" customHeight="1" x14ac:dyDescent="0.15">
      <c r="A664" s="198" t="s">
        <v>129</v>
      </c>
      <c r="B664" s="169"/>
      <c r="C664" s="169"/>
      <c r="D664" s="169"/>
      <c r="E664" s="169"/>
      <c r="F664" s="199">
        <f>SUM(F576:F588)+SUM(H603:H605)+SUM(L612)</f>
        <v>370944.52999999997</v>
      </c>
      <c r="G664" s="199">
        <f>SUM(G576:G588)+SUM(I603:I605)+L613</f>
        <v>66915.37000000001</v>
      </c>
      <c r="H664" s="199">
        <f>SUM(H576:H588)+SUM(J603:J605)+L614</f>
        <v>10421235.75</v>
      </c>
      <c r="I664" s="19">
        <f>SUM(F664:H664)</f>
        <v>10859095.65</v>
      </c>
      <c r="J664" s="13"/>
      <c r="K664" s="13"/>
      <c r="L664" s="13"/>
      <c r="M664" s="9"/>
    </row>
    <row r="665" spans="1:13" s="3" customFormat="1" ht="12.2" customHeight="1" x14ac:dyDescent="0.15">
      <c r="A665" s="1" t="s">
        <v>130</v>
      </c>
      <c r="F665" s="19">
        <f>F661-SUM(F662:F664)</f>
        <v>11571691.515724104</v>
      </c>
      <c r="G665" s="19">
        <f>G661-SUM(G662:G664)</f>
        <v>7477438.6142758969</v>
      </c>
      <c r="H665" s="19">
        <f>H661-SUM(H662:H664)</f>
        <v>1017881.0299999993</v>
      </c>
      <c r="I665" s="19">
        <f>I661-SUM(I662:I664)</f>
        <v>20067011.160000004</v>
      </c>
      <c r="J665" s="13"/>
      <c r="K665" s="13"/>
      <c r="L665" s="13"/>
      <c r="M665" s="8"/>
    </row>
    <row r="666" spans="1:13" s="3" customFormat="1" ht="12.2" customHeight="1" x14ac:dyDescent="0.25">
      <c r="A666" s="1" t="s">
        <v>131</v>
      </c>
      <c r="F666" s="391">
        <v>715.38</v>
      </c>
      <c r="G666" s="391">
        <v>439.57</v>
      </c>
      <c r="H666" s="391">
        <v>0</v>
      </c>
      <c r="I666" s="19">
        <f>SUM(F666:H666)</f>
        <v>1154.95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16175.59</v>
      </c>
      <c r="G668" s="19">
        <f>ROUND(G665/G666,2)</f>
        <v>17010.8</v>
      </c>
      <c r="H668" s="19" t="e">
        <f>ROUND(H665/H666,2)</f>
        <v>#DIV/0!</v>
      </c>
      <c r="I668" s="19">
        <f>ROUND(I665/I666,2)</f>
        <v>17374.79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-1017881.03</v>
      </c>
      <c r="I670" s="19">
        <f>SUM(F670:H670)</f>
        <v>-1017881.03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16175.59</v>
      </c>
      <c r="G673" s="19">
        <f>ROUND((G665+G670)/(G666+G671),2)</f>
        <v>17010.8</v>
      </c>
      <c r="H673" s="19" t="e">
        <f>ROUND((H665+H670)/(H666+H671),2)</f>
        <v>#DIV/0!</v>
      </c>
      <c r="I673" s="19">
        <f>ROUND((I665+I670)/(I666+I671),2)</f>
        <v>16493.47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D10" zoomScaleNormal="100" workbookViewId="0">
      <selection activeCell="E25" sqref="E25"/>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138943.32999999999</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380200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138943.33+380200</f>
        <v>519143.32999999996</v>
      </c>
      <c r="F22" s="346"/>
    </row>
    <row r="23" spans="2:8" x14ac:dyDescent="0.25">
      <c r="B23" s="346"/>
      <c r="C23" s="346"/>
      <c r="D23" s="346"/>
      <c r="E23" s="346"/>
      <c r="F23" s="346"/>
    </row>
    <row r="24" spans="2:8" ht="26.25" customHeight="1" x14ac:dyDescent="0.25">
      <c r="B24" s="346"/>
      <c r="C24" s="348" t="s">
        <v>1661</v>
      </c>
      <c r="D24" s="346"/>
      <c r="E24" s="341">
        <f>106580.73+275443.48+10526.75</f>
        <v>392550.95999999996</v>
      </c>
      <c r="F24" s="346"/>
    </row>
    <row r="25" spans="2:8" ht="18" x14ac:dyDescent="0.25">
      <c r="B25" s="346"/>
      <c r="C25" s="349"/>
      <c r="D25" s="346"/>
      <c r="E25" s="346"/>
      <c r="F25" s="346"/>
    </row>
    <row r="26" spans="2:8" ht="27.75" customHeight="1" x14ac:dyDescent="0.25">
      <c r="B26" s="346"/>
      <c r="C26" s="348" t="s">
        <v>1662</v>
      </c>
      <c r="D26" s="346"/>
      <c r="E26" s="341">
        <f>32362.6+94229.77</f>
        <v>126592.37</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163029.31</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Hooksett School District</v>
      </c>
      <c r="C5" s="362"/>
      <c r="D5" s="362"/>
      <c r="E5" s="362"/>
      <c r="F5" s="362"/>
    </row>
    <row r="8" spans="1:9" ht="18" x14ac:dyDescent="0.25">
      <c r="A8" s="317" t="s">
        <v>1576</v>
      </c>
      <c r="F8" s="324" t="s">
        <v>1594</v>
      </c>
    </row>
    <row r="9" spans="1:9" ht="15" x14ac:dyDescent="0.2">
      <c r="A9" s="315" t="s">
        <v>1577</v>
      </c>
      <c r="B9" s="318">
        <f>'DOE25'!G97</f>
        <v>75317.41</v>
      </c>
      <c r="F9" s="315" t="s">
        <v>1590</v>
      </c>
    </row>
    <row r="10" spans="1:9" ht="15" x14ac:dyDescent="0.2">
      <c r="A10" s="315" t="s">
        <v>1578</v>
      </c>
      <c r="B10" s="318">
        <f>'DOE25'!G112-'DOE25'!G97</f>
        <v>343.65000000000873</v>
      </c>
      <c r="F10" s="315" t="s">
        <v>1591</v>
      </c>
    </row>
    <row r="11" spans="1:9" ht="15" x14ac:dyDescent="0.2">
      <c r="A11" s="315" t="s">
        <v>1579</v>
      </c>
      <c r="B11" s="318">
        <f>'DOE25'!G140</f>
        <v>6157.6900000000005</v>
      </c>
      <c r="F11" s="315" t="s">
        <v>1592</v>
      </c>
    </row>
    <row r="12" spans="1:9" ht="15" x14ac:dyDescent="0.2">
      <c r="A12" s="315" t="s">
        <v>1580</v>
      </c>
      <c r="B12" s="318">
        <f>'DOE25'!G170</f>
        <v>338361.5</v>
      </c>
      <c r="F12" s="315" t="s">
        <v>1593</v>
      </c>
    </row>
    <row r="13" spans="1:9" ht="15" x14ac:dyDescent="0.2">
      <c r="A13" s="315" t="s">
        <v>1581</v>
      </c>
      <c r="B13" s="318">
        <f>'DOE25'!G193-'DOE25'!G180</f>
        <v>0</v>
      </c>
      <c r="F13" s="315" t="s">
        <v>1603</v>
      </c>
    </row>
    <row r="14" spans="1:9" ht="18" x14ac:dyDescent="0.25">
      <c r="A14" s="317" t="s">
        <v>732</v>
      </c>
      <c r="B14" s="319">
        <f>SUM(B9:B13)</f>
        <v>420180.25</v>
      </c>
    </row>
    <row r="16" spans="1:9" ht="18" x14ac:dyDescent="0.25">
      <c r="A16" s="317" t="s">
        <v>786</v>
      </c>
      <c r="F16" s="324" t="s">
        <v>1595</v>
      </c>
    </row>
    <row r="17" spans="1:6" ht="15" x14ac:dyDescent="0.2">
      <c r="A17" s="315" t="s">
        <v>1582</v>
      </c>
      <c r="B17" s="318">
        <f>'DOE25'!L363-'DOE25'!L362</f>
        <v>536844.4</v>
      </c>
      <c r="F17" s="315" t="s">
        <v>1596</v>
      </c>
    </row>
    <row r="18" spans="1:6" ht="15" x14ac:dyDescent="0.2">
      <c r="A18" s="315" t="s">
        <v>1583</v>
      </c>
      <c r="B18" s="328"/>
      <c r="F18" s="324" t="s">
        <v>1620</v>
      </c>
    </row>
    <row r="19" spans="1:6" ht="18" x14ac:dyDescent="0.25">
      <c r="A19" s="317" t="s">
        <v>725</v>
      </c>
      <c r="B19" s="319">
        <f>SUM(B17:B18)</f>
        <v>536844.4</v>
      </c>
    </row>
    <row r="21" spans="1:6" ht="18.75" thickBot="1" x14ac:dyDescent="0.3">
      <c r="A21" s="317" t="s">
        <v>1584</v>
      </c>
    </row>
    <row r="22" spans="1:6" ht="18.75" thickTop="1" x14ac:dyDescent="0.25">
      <c r="A22" s="317" t="s">
        <v>1585</v>
      </c>
      <c r="B22" s="323">
        <f>B14-B19</f>
        <v>-116664.15000000002</v>
      </c>
      <c r="F22" s="315" t="s">
        <v>1597</v>
      </c>
    </row>
    <row r="26" spans="1:6" ht="18" x14ac:dyDescent="0.25">
      <c r="A26" s="317" t="s">
        <v>186</v>
      </c>
    </row>
    <row r="27" spans="1:6" ht="15" x14ac:dyDescent="0.2">
      <c r="A27" s="315" t="s">
        <v>1586</v>
      </c>
      <c r="B27" s="318">
        <f>'DOE25'!G180</f>
        <v>84816.15</v>
      </c>
      <c r="F27" s="315" t="s">
        <v>1598</v>
      </c>
    </row>
    <row r="28" spans="1:6" ht="15" x14ac:dyDescent="0.2">
      <c r="A28" s="315" t="s">
        <v>1588</v>
      </c>
      <c r="B28" s="318">
        <f>'DOE25'!L362</f>
        <v>0</v>
      </c>
      <c r="F28" s="315" t="s">
        <v>1599</v>
      </c>
    </row>
    <row r="31" spans="1:6" ht="15" x14ac:dyDescent="0.2">
      <c r="A31" s="315" t="s">
        <v>1628</v>
      </c>
      <c r="B31" s="318">
        <f>'DOE25'!G466</f>
        <v>31848</v>
      </c>
      <c r="F31" s="315" t="s">
        <v>1600</v>
      </c>
    </row>
    <row r="33" spans="1:6" ht="15" x14ac:dyDescent="0.2">
      <c r="A33" s="315" t="s">
        <v>1629</v>
      </c>
      <c r="B33" s="318">
        <f>'DOE25'!G477</f>
        <v>0</v>
      </c>
      <c r="F33" s="315" t="s">
        <v>1601</v>
      </c>
    </row>
    <row r="36" spans="1:6" ht="15" x14ac:dyDescent="0.2">
      <c r="A36" s="315" t="s">
        <v>1587</v>
      </c>
      <c r="B36" s="329">
        <v>47458.42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Hooksett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5341976.2400000012</v>
      </c>
      <c r="C9" s="229">
        <f>'DOE25'!G198+'DOE25'!G216+'DOE25'!G234+'DOE25'!G277+'DOE25'!G296+'DOE25'!G315</f>
        <v>2787259.04</v>
      </c>
    </row>
    <row r="10" spans="1:3" x14ac:dyDescent="0.2">
      <c r="A10" t="s">
        <v>775</v>
      </c>
      <c r="B10" s="240">
        <v>5063354.62</v>
      </c>
      <c r="C10" s="240">
        <v>2641883.88</v>
      </c>
    </row>
    <row r="11" spans="1:3" x14ac:dyDescent="0.2">
      <c r="A11" t="s">
        <v>776</v>
      </c>
      <c r="B11" s="240">
        <v>102055.02</v>
      </c>
      <c r="C11" s="240">
        <v>53248.79</v>
      </c>
    </row>
    <row r="12" spans="1:3" x14ac:dyDescent="0.2">
      <c r="A12" t="s">
        <v>777</v>
      </c>
      <c r="B12" s="240">
        <v>176566.6</v>
      </c>
      <c r="C12" s="240">
        <v>92126.37</v>
      </c>
    </row>
    <row r="13" spans="1:3" x14ac:dyDescent="0.2">
      <c r="A13" t="str">
        <f>IF(B9=B13,IF(C9=C13,"Check Total OK","Check Total Error"),"Check Total Error")</f>
        <v>Check Total OK</v>
      </c>
      <c r="B13" s="231">
        <f>SUM(B10:B12)</f>
        <v>5341976.2399999993</v>
      </c>
      <c r="C13" s="231">
        <f>SUM(C10:C12)</f>
        <v>2787259.04</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1608415.94</v>
      </c>
      <c r="C18" s="229">
        <f>'DOE25'!G199+'DOE25'!G217+'DOE25'!G235+'DOE25'!G278+'DOE25'!G297+'DOE25'!G316</f>
        <v>950462.17999999993</v>
      </c>
    </row>
    <row r="19" spans="1:3" x14ac:dyDescent="0.2">
      <c r="A19" t="s">
        <v>775</v>
      </c>
      <c r="B19" s="240">
        <v>960266.36</v>
      </c>
      <c r="C19" s="240">
        <v>567450.77</v>
      </c>
    </row>
    <row r="20" spans="1:3" x14ac:dyDescent="0.2">
      <c r="A20" t="s">
        <v>776</v>
      </c>
      <c r="B20" s="240">
        <v>321443.09999999998</v>
      </c>
      <c r="C20" s="240">
        <v>189950.56</v>
      </c>
    </row>
    <row r="21" spans="1:3" x14ac:dyDescent="0.2">
      <c r="A21" t="s">
        <v>777</v>
      </c>
      <c r="B21" s="240">
        <v>326706.48</v>
      </c>
      <c r="C21" s="240">
        <v>193060.85</v>
      </c>
    </row>
    <row r="22" spans="1:3" x14ac:dyDescent="0.2">
      <c r="A22" t="str">
        <f>IF(B18=B22,IF(C18=C22,"Check Total OK","Check Total Error"),"Check Total Error")</f>
        <v>Check Total OK</v>
      </c>
      <c r="B22" s="231">
        <f>SUM(B19:B21)</f>
        <v>1608415.94</v>
      </c>
      <c r="C22" s="231">
        <f>SUM(C19:C21)</f>
        <v>950462.18</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46200</v>
      </c>
      <c r="C36" s="235">
        <f>'DOE25'!G201+'DOE25'!G219+'DOE25'!G237+'DOE25'!G280+'DOE25'!G299+'DOE25'!G318</f>
        <v>8044.11</v>
      </c>
    </row>
    <row r="37" spans="1:3" x14ac:dyDescent="0.2">
      <c r="A37" t="s">
        <v>775</v>
      </c>
      <c r="B37" s="240"/>
      <c r="C37" s="240"/>
    </row>
    <row r="38" spans="1:3" x14ac:dyDescent="0.2">
      <c r="A38" t="s">
        <v>776</v>
      </c>
      <c r="B38" s="240"/>
      <c r="C38" s="240"/>
    </row>
    <row r="39" spans="1:3" x14ac:dyDescent="0.2">
      <c r="A39" t="s">
        <v>777</v>
      </c>
      <c r="B39" s="240">
        <v>46200</v>
      </c>
      <c r="C39" s="240">
        <v>8044.11</v>
      </c>
    </row>
    <row r="40" spans="1:3" x14ac:dyDescent="0.2">
      <c r="A40" t="str">
        <f>IF(B36=B40,IF(C36=C40,"Check Total OK","Check Total Error"),"Check Total Error")</f>
        <v>Check Total OK</v>
      </c>
      <c r="B40" s="231">
        <f>SUM(B37:B39)</f>
        <v>46200</v>
      </c>
      <c r="C40" s="231">
        <f>SUM(C37:C39)</f>
        <v>8044.11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Hooksett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22454499.689999998</v>
      </c>
      <c r="D5" s="20">
        <f>SUM('DOE25'!L198:L201)+SUM('DOE25'!L216:L219)+SUM('DOE25'!L234:L237)-F5-G5-H5</f>
        <v>21905542.139999997</v>
      </c>
      <c r="E5" s="243"/>
      <c r="F5" s="244">
        <v>524399.22</v>
      </c>
      <c r="G5" s="53">
        <f>SUM('DOE25'!J198:J201)+SUM('DOE25'!J216:J219)+SUM('DOE25'!J234:J237)</f>
        <v>20937.820000000003</v>
      </c>
      <c r="H5" s="53">
        <f>SUM('DOE25'!K198:K201)+SUM('DOE25'!K216:K219)+SUM('DOE25'!K234:K237)</f>
        <v>3620.51</v>
      </c>
      <c r="I5" s="254"/>
    </row>
    <row r="6" spans="1:9" x14ac:dyDescent="0.2">
      <c r="A6" s="32">
        <v>2100</v>
      </c>
      <c r="B6" t="s">
        <v>796</v>
      </c>
      <c r="C6" s="273">
        <f t="shared" si="0"/>
        <v>2203369.08</v>
      </c>
      <c r="D6" s="20">
        <f>'DOE25'!L203+'DOE25'!L221+'DOE25'!L239-F6-G6-H6</f>
        <v>1614811.6</v>
      </c>
      <c r="E6" s="243"/>
      <c r="F6" s="244">
        <v>588083.72</v>
      </c>
      <c r="G6" s="53">
        <f>'DOE25'!J203+'DOE25'!J221+'DOE25'!J239</f>
        <v>473.76</v>
      </c>
      <c r="H6" s="53">
        <f>'DOE25'!K203+'DOE25'!K221+'DOE25'!K239</f>
        <v>0</v>
      </c>
      <c r="I6" s="254"/>
    </row>
    <row r="7" spans="1:9" x14ac:dyDescent="0.2">
      <c r="A7" s="32">
        <v>2200</v>
      </c>
      <c r="B7" t="s">
        <v>821</v>
      </c>
      <c r="C7" s="273">
        <f t="shared" si="0"/>
        <v>537465.34</v>
      </c>
      <c r="D7" s="20">
        <f>'DOE25'!L204+'DOE25'!L222+'DOE25'!L240-F7-G7-H7</f>
        <v>536426.34</v>
      </c>
      <c r="E7" s="243"/>
      <c r="F7" s="244"/>
      <c r="G7" s="53">
        <f>'DOE25'!J204+'DOE25'!J222+'DOE25'!J240</f>
        <v>219</v>
      </c>
      <c r="H7" s="53">
        <f>'DOE25'!K204+'DOE25'!K222+'DOE25'!K240</f>
        <v>820</v>
      </c>
      <c r="I7" s="254"/>
    </row>
    <row r="8" spans="1:9" x14ac:dyDescent="0.2">
      <c r="A8" s="32">
        <v>2300</v>
      </c>
      <c r="B8" t="s">
        <v>797</v>
      </c>
      <c r="C8" s="273">
        <f t="shared" si="0"/>
        <v>403826.21000000014</v>
      </c>
      <c r="D8" s="243"/>
      <c r="E8" s="20">
        <f>'DOE25'!L205+'DOE25'!L223+'DOE25'!L241-F8-G8-H8-D9-D11</f>
        <v>397935.85000000015</v>
      </c>
      <c r="F8" s="244"/>
      <c r="G8" s="53">
        <f>'DOE25'!J205+'DOE25'!J223+'DOE25'!J241</f>
        <v>0</v>
      </c>
      <c r="H8" s="53">
        <f>'DOE25'!K205+'DOE25'!K223+'DOE25'!K241</f>
        <v>5890.3600000000006</v>
      </c>
      <c r="I8" s="254"/>
    </row>
    <row r="9" spans="1:9" ht="14.25" x14ac:dyDescent="0.2">
      <c r="A9" s="32">
        <v>2310</v>
      </c>
      <c r="B9" s="185" t="s">
        <v>888</v>
      </c>
      <c r="C9" s="273">
        <f t="shared" si="0"/>
        <v>95585.32</v>
      </c>
      <c r="D9" s="244">
        <v>95585.32</v>
      </c>
      <c r="E9" s="243"/>
      <c r="F9" s="251"/>
      <c r="G9" s="251"/>
      <c r="H9" s="251"/>
      <c r="I9" s="254"/>
    </row>
    <row r="10" spans="1:9" ht="14.25" x14ac:dyDescent="0.2">
      <c r="A10" s="32">
        <v>2317</v>
      </c>
      <c r="B10" s="185" t="s">
        <v>889</v>
      </c>
      <c r="C10" s="273">
        <f t="shared" si="0"/>
        <v>12668</v>
      </c>
      <c r="D10" s="243"/>
      <c r="E10" s="244">
        <v>12668</v>
      </c>
      <c r="F10" s="251"/>
      <c r="G10" s="251"/>
      <c r="H10" s="251"/>
      <c r="I10" s="254"/>
    </row>
    <row r="11" spans="1:9" ht="14.25" x14ac:dyDescent="0.2">
      <c r="A11" s="32">
        <v>2321</v>
      </c>
      <c r="B11" s="185" t="s">
        <v>890</v>
      </c>
      <c r="C11" s="273">
        <f t="shared" si="0"/>
        <v>304524.78999999998</v>
      </c>
      <c r="D11" s="244">
        <v>304524.78999999998</v>
      </c>
      <c r="E11" s="243"/>
      <c r="F11" s="251"/>
      <c r="G11" s="251"/>
      <c r="H11" s="251"/>
      <c r="I11" s="254"/>
    </row>
    <row r="12" spans="1:9" x14ac:dyDescent="0.2">
      <c r="A12" s="32">
        <v>2400</v>
      </c>
      <c r="B12" t="s">
        <v>711</v>
      </c>
      <c r="C12" s="273">
        <f t="shared" si="0"/>
        <v>1314069.54</v>
      </c>
      <c r="D12" s="20">
        <f>'DOE25'!L206+'DOE25'!L224+'DOE25'!L242-F12-G12-H12</f>
        <v>1308370.6000000001</v>
      </c>
      <c r="E12" s="243"/>
      <c r="F12" s="244"/>
      <c r="G12" s="53">
        <f>'DOE25'!J206+'DOE25'!J224+'DOE25'!J242</f>
        <v>765.94</v>
      </c>
      <c r="H12" s="53">
        <f>'DOE25'!K206+'DOE25'!K224+'DOE25'!K242</f>
        <v>4933</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1829318.51</v>
      </c>
      <c r="D14" s="20">
        <f>'DOE25'!L208+'DOE25'!L226+'DOE25'!L244-F14-G14-H14</f>
        <v>1744869.37</v>
      </c>
      <c r="E14" s="243"/>
      <c r="F14" s="244">
        <v>44210.16</v>
      </c>
      <c r="G14" s="53">
        <f>'DOE25'!J208+'DOE25'!J226+'DOE25'!J244</f>
        <v>40238.979999999996</v>
      </c>
      <c r="H14" s="53">
        <f>'DOE25'!K208+'DOE25'!K226+'DOE25'!K244</f>
        <v>0</v>
      </c>
      <c r="I14" s="254"/>
    </row>
    <row r="15" spans="1:9" x14ac:dyDescent="0.2">
      <c r="A15" s="32">
        <v>2700</v>
      </c>
      <c r="B15" t="s">
        <v>799</v>
      </c>
      <c r="C15" s="273">
        <f t="shared" si="0"/>
        <v>1723070.17</v>
      </c>
      <c r="D15" s="20">
        <f>'DOE25'!L209+'DOE25'!L227+'DOE25'!L245-F15-G15-H15</f>
        <v>1192663.79</v>
      </c>
      <c r="E15" s="243"/>
      <c r="F15" s="244">
        <v>530406.38</v>
      </c>
      <c r="G15" s="53">
        <f>'DOE25'!J209+'DOE25'!J227+'DOE25'!J245</f>
        <v>0</v>
      </c>
      <c r="H15" s="53">
        <f>'DOE25'!K209+'DOE25'!K227+'DOE25'!K245</f>
        <v>0</v>
      </c>
      <c r="I15" s="254"/>
    </row>
    <row r="16" spans="1:9" x14ac:dyDescent="0.2">
      <c r="A16" s="32">
        <v>2800</v>
      </c>
      <c r="B16" t="s">
        <v>800</v>
      </c>
      <c r="C16" s="273">
        <f t="shared" si="0"/>
        <v>387499.52000000002</v>
      </c>
      <c r="D16" s="243"/>
      <c r="E16" s="20">
        <f>'DOE25'!L210+'DOE25'!L228+'DOE25'!L246-F16-G16-H16</f>
        <v>366980.05000000005</v>
      </c>
      <c r="F16" s="244"/>
      <c r="G16" s="53">
        <f>'DOE25'!J210+'DOE25'!J228+'DOE25'!J246</f>
        <v>20519.47</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13000</v>
      </c>
      <c r="D22" s="243"/>
      <c r="E22" s="243"/>
      <c r="F22" s="243"/>
      <c r="G22" s="53">
        <f>'DOE25'!L256+'DOE25'!L337</f>
        <v>13000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1158750</v>
      </c>
      <c r="D25" s="243"/>
      <c r="E25" s="243"/>
      <c r="F25" s="253"/>
      <c r="G25" s="251"/>
      <c r="H25" s="251"/>
      <c r="I25" s="252">
        <f>'DOE25'!L261+'DOE25'!L262+'DOE25'!L342+'DOE25'!L343</f>
        <v>1158750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391907.69000000006</v>
      </c>
      <c r="D29" s="281">
        <f>'DOE25'!L359+'DOE25'!L360+'DOE25'!L361-'DOE25'!I368-F29-G29-H29</f>
        <v>391207.69000000006</v>
      </c>
      <c r="E29" s="243"/>
      <c r="F29" s="244"/>
      <c r="G29" s="53">
        <f>'DOE25'!J359+'DOE25'!J360+'DOE25'!J361</f>
        <v>0</v>
      </c>
      <c r="H29" s="53">
        <f>'DOE25'!K359+'DOE25'!K360+'DOE25'!K361</f>
        <v>700</v>
      </c>
      <c r="I29" s="254"/>
    </row>
    <row r="30" spans="1:9" x14ac:dyDescent="0.2">
      <c r="A30" s="32"/>
      <c r="C30" s="274"/>
      <c r="D30" s="20"/>
      <c r="E30" s="278"/>
      <c r="F30" s="268"/>
      <c r="G30" s="53"/>
      <c r="H30" s="53"/>
      <c r="I30" s="254"/>
    </row>
    <row r="31" spans="1:9" x14ac:dyDescent="0.2">
      <c r="A31" s="32" t="s">
        <v>818</v>
      </c>
      <c r="B31" t="s">
        <v>817</v>
      </c>
      <c r="C31" s="273">
        <f>SUM(D31:I31)</f>
        <v>934765.47</v>
      </c>
      <c r="D31" s="20">
        <f>'DOE25'!L291+'DOE25'!L310+'DOE25'!L329+'DOE25'!L334+'DOE25'!L335+'DOE25'!L336-F31-G31-H31</f>
        <v>647370.12000000011</v>
      </c>
      <c r="E31" s="243"/>
      <c r="F31" s="244">
        <v>108635.85</v>
      </c>
      <c r="G31" s="53">
        <f>'DOE25'!J291+'DOE25'!J310+'DOE25'!J329+'DOE25'!J334+'DOE25'!J335+'DOE25'!J336</f>
        <v>171529.3</v>
      </c>
      <c r="H31" s="53">
        <f>'DOE25'!K291+'DOE25'!K310+'DOE25'!K329+'DOE25'!K334+'DOE25'!K335+'DOE25'!K336</f>
        <v>7230.2</v>
      </c>
      <c r="I31" s="254"/>
    </row>
    <row r="32" spans="1:9" ht="12" thickBot="1" x14ac:dyDescent="0.25">
      <c r="C32" s="274"/>
      <c r="G32" s="249"/>
      <c r="H32" s="249"/>
      <c r="I32" s="256"/>
    </row>
    <row r="33" spans="1:9" ht="12" thickTop="1" x14ac:dyDescent="0.2">
      <c r="B33" t="s">
        <v>809</v>
      </c>
      <c r="D33" s="245">
        <f t="shared" ref="D33:I33" si="1">SUM(D5:D31)</f>
        <v>29741371.760000002</v>
      </c>
      <c r="E33" s="245">
        <f t="shared" si="1"/>
        <v>777583.90000000014</v>
      </c>
      <c r="F33" s="245">
        <f t="shared" si="1"/>
        <v>1795735.33</v>
      </c>
      <c r="G33" s="245">
        <f t="shared" si="1"/>
        <v>267684.27</v>
      </c>
      <c r="H33" s="245">
        <f t="shared" si="1"/>
        <v>23194.07</v>
      </c>
      <c r="I33" s="245">
        <f t="shared" si="1"/>
        <v>1158750</v>
      </c>
    </row>
    <row r="35" spans="1:9" ht="12" thickBot="1" x14ac:dyDescent="0.25">
      <c r="B35" s="249" t="s">
        <v>831</v>
      </c>
      <c r="D35" s="250">
        <f>E33</f>
        <v>777583.90000000014</v>
      </c>
      <c r="E35" s="246"/>
      <c r="F35" s="333" t="s">
        <v>1632</v>
      </c>
      <c r="G35" s="334"/>
      <c r="H35" s="334"/>
      <c r="I35" s="334"/>
    </row>
    <row r="36" spans="1:9" ht="12" thickTop="1" x14ac:dyDescent="0.2">
      <c r="B36" t="s">
        <v>810</v>
      </c>
      <c r="D36" s="20">
        <f>D33</f>
        <v>29741371.760000002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Hooksett School District</v>
      </c>
      <c r="B2" s="126">
        <f>'DOE25'!B2</f>
        <v>261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12346456.24</v>
      </c>
      <c r="G4" s="300">
        <f>'DOE25'!L212+'DOE25'!L291</f>
        <v>12346456.24</v>
      </c>
      <c r="H4" s="353">
        <f>F4-G4</f>
        <v>0</v>
      </c>
      <c r="I4" s="370" t="str">
        <f>IF(H4=0,"","ISSUES!! Please review page 7 and 11 totals in comparison with total on this page")</f>
        <v/>
      </c>
      <c r="N4"/>
    </row>
    <row r="5" spans="1:18" x14ac:dyDescent="0.2">
      <c r="A5" s="21" t="s">
        <v>1125</v>
      </c>
      <c r="B5" s="301">
        <f>IFERROR(VLOOKUP(A5,'School Tables'!$C$3:$D$365,2,FALSE),"")</f>
        <v>20550</v>
      </c>
      <c r="C5" s="294" t="str">
        <f>IFERROR(INDEX('School Tables'!$B$3:$B$365,MATCH('School Level Expenditures'!B5,'School Tables'!$D$3:$D$365,0)),"")</f>
        <v>Hooksett</v>
      </c>
      <c r="D5" s="291">
        <v>5976993.9900000002</v>
      </c>
      <c r="E5" s="291">
        <v>295910.64</v>
      </c>
      <c r="F5" s="304">
        <f>D5+E5</f>
        <v>6272904.6299999999</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t="s">
        <v>1124</v>
      </c>
      <c r="B7" s="301">
        <f>IFERROR(VLOOKUP(A7,'School Tables'!$C$3:$D$365,2,FALSE),"")</f>
        <v>20540</v>
      </c>
      <c r="C7" s="294" t="str">
        <f>IFERROR(INDEX('School Tables'!$B$3:$B$365,MATCH('School Level Expenditures'!B7,'School Tables'!$D$3:$D$365,0)),"")</f>
        <v>Hooksett</v>
      </c>
      <c r="D7" s="291">
        <v>5786157.2300000004</v>
      </c>
      <c r="E7" s="291">
        <v>287394.38</v>
      </c>
      <c r="F7" s="304">
        <f t="shared" si="0"/>
        <v>6073551.6100000003</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11763151.220000001</v>
      </c>
      <c r="E21" s="351">
        <f>SUM(E5:E20)</f>
        <v>583305.02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7785042.4900000002</v>
      </c>
      <c r="G24" s="300">
        <f>'DOE25'!L230+'DOE25'!L310</f>
        <v>7785042.4900000002</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t="s">
        <v>1126</v>
      </c>
      <c r="B26" s="301">
        <f>IFERROR(VLOOKUP(A26,'School Tables'!$I$3:$J$80,2,FALSE),"")</f>
        <v>28050</v>
      </c>
      <c r="C26" s="294" t="str">
        <f t="array" ref="C26">IFERROR(INDEX('School Tables'!$H$3:$H$80,MATCH('School Level Expenditures'!B26,'School Tables'!$J$3:$J$80,0)),"")</f>
        <v>Hooksett</v>
      </c>
      <c r="D26" s="291">
        <v>7433582.04</v>
      </c>
      <c r="E26" s="291">
        <v>351460.45</v>
      </c>
      <c r="F26" s="304">
        <f t="shared" ref="F26:F32" si="1">D26+E26</f>
        <v>7785042.4900000002</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7433582.04</v>
      </c>
      <c r="E33" s="351">
        <f>SUM(E25:E32)</f>
        <v>351460.45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12056494.91</v>
      </c>
      <c r="G36" s="300">
        <f>'DOE25'!L248+'DOE25'!L329</f>
        <v>12056494.91</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12056494.91</v>
      </c>
      <c r="E37" s="291"/>
      <c r="F37" s="304">
        <f t="shared" ref="F37:F42" si="2">D37+E37</f>
        <v>12056494.91</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12056494.91</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Hooksett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2605973.5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313412.51</v>
      </c>
      <c r="D11" s="95">
        <f>'DOE25'!G12</f>
        <v>0</v>
      </c>
      <c r="E11" s="95">
        <f>'DOE25'!H12</f>
        <v>0</v>
      </c>
      <c r="F11" s="95">
        <f>'DOE25'!I12</f>
        <v>0</v>
      </c>
      <c r="G11" s="95">
        <f>'DOE25'!J12</f>
        <v>0</v>
      </c>
      <c r="H11" s="124"/>
      <c r="I11" s="124"/>
    </row>
    <row r="12" spans="1:9" x14ac:dyDescent="0.2">
      <c r="A12" s="1" t="s">
        <v>143</v>
      </c>
      <c r="B12" s="6">
        <v>140</v>
      </c>
      <c r="C12" s="95">
        <f>'DOE25'!F13</f>
        <v>48150.07</v>
      </c>
      <c r="D12" s="95">
        <f>'DOE25'!G13</f>
        <v>67958.240000000005</v>
      </c>
      <c r="E12" s="95">
        <f>'DOE25'!H13</f>
        <v>258790.23</v>
      </c>
      <c r="F12" s="95">
        <f>'DOE25'!I13</f>
        <v>0</v>
      </c>
      <c r="G12" s="95">
        <f>'DOE25'!J13</f>
        <v>418667.05</v>
      </c>
      <c r="H12" s="124"/>
      <c r="I12" s="124"/>
    </row>
    <row r="13" spans="1:9" x14ac:dyDescent="0.2">
      <c r="A13" s="1" t="s">
        <v>144</v>
      </c>
      <c r="B13" s="6">
        <v>150</v>
      </c>
      <c r="C13" s="95">
        <f>'DOE25'!F14</f>
        <v>1503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24698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2969039.0799999996</v>
      </c>
      <c r="D18" s="41">
        <f>SUM(D8:D17)</f>
        <v>92656.24</v>
      </c>
      <c r="E18" s="41">
        <f>SUM(E8:E17)</f>
        <v>258790.23</v>
      </c>
      <c r="F18" s="41">
        <f>SUM(F8:F17)</f>
        <v>0</v>
      </c>
      <c r="G18" s="41">
        <f>SUM(G8:G17)</f>
        <v>418667.05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73310.05</v>
      </c>
      <c r="E21" s="95">
        <f>'DOE25'!H22</f>
        <v>240102.44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530628.13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21309.439999999999</v>
      </c>
      <c r="D27" s="95">
        <f>'DOE25'!G28</f>
        <v>1526</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17820.189999999999</v>
      </c>
      <c r="E29" s="95">
        <f>'DOE25'!H30</f>
        <v>18687.79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551937.56999999995</v>
      </c>
      <c r="D31" s="41">
        <f>SUM(D21:D30)</f>
        <v>92656.24</v>
      </c>
      <c r="E31" s="41">
        <f>SUM(E21:E30)</f>
        <v>258790.23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418667.05</v>
      </c>
      <c r="H47" s="124"/>
      <c r="I47" s="124"/>
    </row>
    <row r="48" spans="1:9" x14ac:dyDescent="0.2">
      <c r="A48" s="1" t="s">
        <v>882</v>
      </c>
      <c r="B48" s="6">
        <v>753</v>
      </c>
      <c r="C48" s="95">
        <f>'DOE25'!F49</f>
        <v>921043.57</v>
      </c>
      <c r="D48" s="95">
        <f>'DOE25'!G49</f>
        <v>0</v>
      </c>
      <c r="E48" s="95">
        <f>'DOE25'!H49</f>
        <v>0</v>
      </c>
      <c r="F48" s="95">
        <f>'DOE25'!I49</f>
        <v>0</v>
      </c>
      <c r="G48" s="95">
        <f>'DOE25'!J49</f>
        <v>0</v>
      </c>
      <c r="H48" s="124"/>
      <c r="I48" s="124"/>
    </row>
    <row r="49" spans="1:9" ht="12" thickBot="1" x14ac:dyDescent="0.25">
      <c r="A49" s="29" t="s">
        <v>883</v>
      </c>
      <c r="B49" s="71">
        <v>770</v>
      </c>
      <c r="C49" s="95">
        <f>'DOE25'!F50</f>
        <v>896057.94</v>
      </c>
      <c r="D49" s="24" t="s">
        <v>288</v>
      </c>
      <c r="E49" s="24" t="s">
        <v>288</v>
      </c>
      <c r="F49" s="24" t="s">
        <v>288</v>
      </c>
      <c r="G49" s="24" t="s">
        <v>288</v>
      </c>
      <c r="H49" s="124"/>
      <c r="I49" s="124"/>
    </row>
    <row r="50" spans="1:9" ht="12.75" thickTop="1" thickBot="1" x14ac:dyDescent="0.25">
      <c r="A50" s="38" t="s">
        <v>884</v>
      </c>
      <c r="B50" s="48"/>
      <c r="C50" s="41">
        <f>SUM(C34:C49)</f>
        <v>2417101.5099999998</v>
      </c>
      <c r="D50" s="41">
        <f>SUM(D34:D49)</f>
        <v>0</v>
      </c>
      <c r="E50" s="41">
        <f>SUM(E34:E49)</f>
        <v>0</v>
      </c>
      <c r="F50" s="41">
        <f>SUM(F34:F49)</f>
        <v>0</v>
      </c>
      <c r="G50" s="41">
        <f>SUM(G34:G49)</f>
        <v>418667.05</v>
      </c>
      <c r="H50" s="124"/>
      <c r="I50" s="124"/>
    </row>
    <row r="51" spans="1:9" ht="12" thickTop="1" x14ac:dyDescent="0.2">
      <c r="A51" s="38" t="s">
        <v>885</v>
      </c>
      <c r="B51" s="2"/>
      <c r="C51" s="41">
        <f>C50+C31</f>
        <v>2969039.0799999996</v>
      </c>
      <c r="D51" s="41">
        <f>D50+D31</f>
        <v>92656.24</v>
      </c>
      <c r="E51" s="41">
        <f>E50+E31</f>
        <v>258790.23</v>
      </c>
      <c r="F51" s="41">
        <f>F50+F31</f>
        <v>0</v>
      </c>
      <c r="G51" s="41">
        <f>G50+G31</f>
        <v>418667.05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24421421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2154.25</v>
      </c>
      <c r="D59" s="95">
        <f>'DOE25'!G96</f>
        <v>0</v>
      </c>
      <c r="E59" s="95">
        <f>'DOE25'!H96</f>
        <v>0</v>
      </c>
      <c r="F59" s="95">
        <f>'DOE25'!I96</f>
        <v>0</v>
      </c>
      <c r="G59" s="95">
        <f>'DOE25'!J96</f>
        <v>14797.43</v>
      </c>
      <c r="H59"/>
      <c r="I59"/>
    </row>
    <row r="60" spans="1:9" x14ac:dyDescent="0.2">
      <c r="A60" s="1" t="s">
        <v>170</v>
      </c>
      <c r="B60" s="118" t="s">
        <v>171</v>
      </c>
      <c r="C60" s="24" t="s">
        <v>288</v>
      </c>
      <c r="D60" s="95">
        <f>'DOE25'!G97</f>
        <v>75317.41</v>
      </c>
      <c r="E60" s="24" t="s">
        <v>288</v>
      </c>
      <c r="F60" s="24" t="s">
        <v>288</v>
      </c>
      <c r="G60" s="24" t="s">
        <v>288</v>
      </c>
      <c r="H60"/>
      <c r="I60"/>
    </row>
    <row r="61" spans="1:9" ht="12" thickBot="1" x14ac:dyDescent="0.25">
      <c r="A61" s="1" t="s">
        <v>172</v>
      </c>
      <c r="B61" s="118" t="s">
        <v>173</v>
      </c>
      <c r="C61" s="95">
        <f>SUM('DOE25'!F98:F110)</f>
        <v>314349.12000000005</v>
      </c>
      <c r="D61" s="95">
        <f>SUM('DOE25'!G98:G110)</f>
        <v>343.65</v>
      </c>
      <c r="E61" s="95">
        <f>SUM('DOE25'!H98:H110)</f>
        <v>2000</v>
      </c>
      <c r="F61" s="95">
        <f>SUM('DOE25'!I98:I110)</f>
        <v>0</v>
      </c>
      <c r="G61" s="95">
        <f>SUM('DOE25'!J98:J110)</f>
        <v>0</v>
      </c>
      <c r="H61"/>
      <c r="I61"/>
    </row>
    <row r="62" spans="1:9" ht="12.75" thickTop="1" thickBot="1" x14ac:dyDescent="0.25">
      <c r="A62" s="29" t="s">
        <v>174</v>
      </c>
      <c r="B62" s="6"/>
      <c r="C62" s="130">
        <f>SUM(C57:C61)</f>
        <v>316503.37000000005</v>
      </c>
      <c r="D62" s="130">
        <f>SUM(D57:D61)</f>
        <v>75661.06</v>
      </c>
      <c r="E62" s="130">
        <f>SUM(E57:E61)</f>
        <v>2000</v>
      </c>
      <c r="F62" s="130">
        <f>SUM(F57:F61)</f>
        <v>0</v>
      </c>
      <c r="G62" s="130">
        <f>SUM(G57:G61)</f>
        <v>14797.43</v>
      </c>
      <c r="H62"/>
      <c r="I62"/>
    </row>
    <row r="63" spans="1:9" ht="12" thickTop="1" x14ac:dyDescent="0.2">
      <c r="A63" s="29" t="s">
        <v>175</v>
      </c>
      <c r="B63" s="6"/>
      <c r="C63" s="22">
        <f>C56+C62</f>
        <v>24737924.370000001</v>
      </c>
      <c r="D63" s="22">
        <f>D56+D62</f>
        <v>75661.06</v>
      </c>
      <c r="E63" s="22">
        <f>E56+E62</f>
        <v>2000</v>
      </c>
      <c r="F63" s="22">
        <f>F56+F62</f>
        <v>0</v>
      </c>
      <c r="G63" s="22">
        <f>G56+G62</f>
        <v>14797.43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4205458.05</v>
      </c>
      <c r="D66" s="24" t="s">
        <v>288</v>
      </c>
      <c r="E66" s="24" t="s">
        <v>288</v>
      </c>
      <c r="F66" s="24" t="s">
        <v>288</v>
      </c>
      <c r="G66" s="24" t="s">
        <v>288</v>
      </c>
      <c r="H66"/>
      <c r="I66"/>
    </row>
    <row r="67" spans="1:9" x14ac:dyDescent="0.2">
      <c r="A67" s="1" t="s">
        <v>770</v>
      </c>
      <c r="B67" s="6">
        <v>3112</v>
      </c>
      <c r="C67" s="95">
        <f>'DOE25'!F118</f>
        <v>3866211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11719.07</v>
      </c>
      <c r="D69" s="95">
        <f>'DOE25'!G120</f>
        <v>0</v>
      </c>
      <c r="E69" s="95">
        <f>'DOE25'!H120</f>
        <v>0</v>
      </c>
      <c r="F69" s="95">
        <f>'DOE25'!I120</f>
        <v>0</v>
      </c>
      <c r="G69" s="95">
        <f>'DOE25'!J120</f>
        <v>0</v>
      </c>
      <c r="H69"/>
      <c r="I69"/>
    </row>
    <row r="70" spans="1:9" ht="12" thickTop="1" x14ac:dyDescent="0.2">
      <c r="A70" s="29" t="s">
        <v>252</v>
      </c>
      <c r="B70" s="2"/>
      <c r="C70" s="139">
        <f>SUM(C66:C69)</f>
        <v>8083388.1200000001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328672.46999999997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35233.410000000003</v>
      </c>
      <c r="D74" s="24"/>
      <c r="E74" s="24"/>
      <c r="F74" s="24"/>
      <c r="G74" s="24"/>
      <c r="H74"/>
      <c r="I74"/>
    </row>
    <row r="75" spans="1:9" x14ac:dyDescent="0.2">
      <c r="A75" s="1" t="s">
        <v>256</v>
      </c>
      <c r="B75" s="6">
        <v>3230</v>
      </c>
      <c r="C75" s="95">
        <f>'DOE25'!F126</f>
        <v>399607.27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43200</v>
      </c>
      <c r="D77" s="95">
        <f>SUM('DOE25'!G131:G135)</f>
        <v>6157.6900000000005</v>
      </c>
      <c r="E77" s="95">
        <f>SUM('DOE25'!H131:H135)</f>
        <v>0</v>
      </c>
      <c r="F77" s="95">
        <f>SUM('DOE25'!I131:I135)</f>
        <v>0</v>
      </c>
      <c r="G77" s="95">
        <f>SUM('DOE25'!J131:J135)</f>
        <v>0</v>
      </c>
      <c r="H77"/>
      <c r="I77"/>
    </row>
    <row r="78" spans="1:9" ht="12.75" thickTop="1" thickBot="1" x14ac:dyDescent="0.25">
      <c r="A78" s="29" t="s">
        <v>259</v>
      </c>
      <c r="B78" s="6"/>
      <c r="C78" s="130">
        <f>SUM(C72:C77)</f>
        <v>806713.15</v>
      </c>
      <c r="D78" s="130">
        <f>SUM(D72:D77)</f>
        <v>6157.6900000000005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8890101.2699999996</v>
      </c>
      <c r="D81" s="130">
        <f>SUM(D79:D80)+D78+D70</f>
        <v>6157.6900000000005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33301.019999999997</v>
      </c>
      <c r="D88" s="331">
        <f>SUM('DOE25'!G153:G162)</f>
        <v>338361.5</v>
      </c>
      <c r="E88" s="331">
        <f>SUM('DOE25'!H153:H162)</f>
        <v>932539.05999999994</v>
      </c>
      <c r="F88" s="331">
        <f>SUM('DOE25'!I153:I162)</f>
        <v>0</v>
      </c>
      <c r="G88" s="24" t="s">
        <v>288</v>
      </c>
    </row>
    <row r="89" spans="1:9" x14ac:dyDescent="0.2">
      <c r="A89" t="s">
        <v>748</v>
      </c>
      <c r="B89" s="32" t="s">
        <v>185</v>
      </c>
      <c r="C89" s="95">
        <f>'DOE25'!F164+'DOE25'!F167+'DOE25'!F169</f>
        <v>0</v>
      </c>
      <c r="D89" s="95">
        <f>'DOE25'!G164+'DOE25'!G169</f>
        <v>0</v>
      </c>
      <c r="E89" s="95">
        <f>'DOE25'!H164+'DOE25'!H169</f>
        <v>226.41</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33301.019999999997</v>
      </c>
      <c r="D91" s="131">
        <f>SUM(D85:D90)</f>
        <v>338361.5</v>
      </c>
      <c r="E91" s="131">
        <f>SUM(E85:E90)</f>
        <v>932765.47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84816.15</v>
      </c>
      <c r="E96" s="95">
        <f>'DOE25'!H180</f>
        <v>0</v>
      </c>
      <c r="F96" s="95">
        <f>'DOE25'!I180</f>
        <v>26822</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440000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84816.15</v>
      </c>
      <c r="E103" s="86">
        <f>SUM(E93:E102)</f>
        <v>0</v>
      </c>
      <c r="F103" s="86">
        <f>SUM(F93:F102)</f>
        <v>466822</v>
      </c>
      <c r="G103" s="86">
        <f>SUM(G93:G102)</f>
        <v>100000</v>
      </c>
    </row>
    <row r="104" spans="1:7" ht="12.75" thickTop="1" thickBot="1" x14ac:dyDescent="0.25">
      <c r="A104" s="33" t="s">
        <v>761</v>
      </c>
      <c r="C104" s="86">
        <f>C63+C81+C91+C103</f>
        <v>33661326.660000004</v>
      </c>
      <c r="D104" s="86">
        <f>D63+D81+D91+D103</f>
        <v>504996.4</v>
      </c>
      <c r="E104" s="86">
        <f>E63+E81+E91+E103</f>
        <v>934765.47</v>
      </c>
      <c r="F104" s="86">
        <f>F63+F81+F91+F103</f>
        <v>466822</v>
      </c>
      <c r="G104" s="86">
        <f>G63+G81+G103</f>
        <v>114797.43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15729789.93</v>
      </c>
      <c r="D109" s="24" t="s">
        <v>288</v>
      </c>
      <c r="E109" s="95">
        <f>('DOE25'!L277)+('DOE25'!L296)+('DOE25'!L315)</f>
        <v>474340.70999999996</v>
      </c>
      <c r="F109" s="24" t="s">
        <v>288</v>
      </c>
      <c r="G109" s="24" t="s">
        <v>288</v>
      </c>
    </row>
    <row r="110" spans="1:7" x14ac:dyDescent="0.2">
      <c r="A110" t="s">
        <v>198</v>
      </c>
      <c r="B110" s="32" t="s">
        <v>199</v>
      </c>
      <c r="C110" s="95">
        <f>('DOE25'!L199)+('DOE25'!L217)+('DOE25'!L235)</f>
        <v>6651020.5</v>
      </c>
      <c r="D110" s="24" t="s">
        <v>288</v>
      </c>
      <c r="E110" s="95">
        <f>('DOE25'!L278)+('DOE25'!L297)+('DOE25'!L316)</f>
        <v>293013.24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73689.25999999998</v>
      </c>
      <c r="D112" s="24" t="s">
        <v>288</v>
      </c>
      <c r="E112" s="95">
        <f>+('DOE25'!L280)+('DOE25'!L299)+('DOE25'!L318)</f>
        <v>2000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22454499.690000001</v>
      </c>
      <c r="D115" s="86">
        <f>SUM(D109:D114)</f>
        <v>0</v>
      </c>
      <c r="E115" s="86">
        <f>SUM(E109:E114)</f>
        <v>769353.95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2203369.08</v>
      </c>
      <c r="D118" s="24" t="s">
        <v>288</v>
      </c>
      <c r="E118" s="95">
        <f>+('DOE25'!L282)+('DOE25'!L301)+('DOE25'!L320)</f>
        <v>7628.7699999999995</v>
      </c>
      <c r="F118" s="24" t="s">
        <v>288</v>
      </c>
      <c r="G118" s="24" t="s">
        <v>288</v>
      </c>
    </row>
    <row r="119" spans="1:7" x14ac:dyDescent="0.2">
      <c r="A119" t="s">
        <v>208</v>
      </c>
      <c r="B119" s="32" t="s">
        <v>209</v>
      </c>
      <c r="C119" s="95">
        <f>('DOE25'!L204)+('DOE25'!L222)+('DOE25'!L240)</f>
        <v>537465.34</v>
      </c>
      <c r="D119" s="24" t="s">
        <v>288</v>
      </c>
      <c r="E119" s="95">
        <f>+('DOE25'!L283)+('DOE25'!L302)+('DOE25'!L321)</f>
        <v>31467.84</v>
      </c>
      <c r="F119" s="24" t="s">
        <v>288</v>
      </c>
      <c r="G119" s="24" t="s">
        <v>288</v>
      </c>
    </row>
    <row r="120" spans="1:7" x14ac:dyDescent="0.2">
      <c r="A120" t="s">
        <v>210</v>
      </c>
      <c r="B120" s="32" t="s">
        <v>211</v>
      </c>
      <c r="C120" s="95">
        <f>('DOE25'!L205)+('DOE25'!L223)+('DOE25'!L241)</f>
        <v>803936.32000000007</v>
      </c>
      <c r="D120" s="24" t="s">
        <v>288</v>
      </c>
      <c r="E120" s="95">
        <f>+('DOE25'!L284)+('DOE25'!L303)+('DOE25'!L322)</f>
        <v>0</v>
      </c>
      <c r="F120" s="24" t="s">
        <v>288</v>
      </c>
      <c r="G120" s="24" t="s">
        <v>288</v>
      </c>
    </row>
    <row r="121" spans="1:7" x14ac:dyDescent="0.2">
      <c r="A121" t="s">
        <v>212</v>
      </c>
      <c r="B121" s="32" t="s">
        <v>213</v>
      </c>
      <c r="C121" s="95">
        <f>('DOE25'!L206)+('DOE25'!L224)+('DOE25'!L242)</f>
        <v>1314069.54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6687.61</v>
      </c>
      <c r="F122" s="24" t="s">
        <v>288</v>
      </c>
      <c r="G122" s="24" t="s">
        <v>288</v>
      </c>
    </row>
    <row r="123" spans="1:7" x14ac:dyDescent="0.2">
      <c r="A123" t="s">
        <v>216</v>
      </c>
      <c r="B123" s="32" t="s">
        <v>217</v>
      </c>
      <c r="C123" s="95">
        <f>('DOE25'!L208)+('DOE25'!L226)+('DOE25'!L244)</f>
        <v>1829318.51</v>
      </c>
      <c r="D123" s="24" t="s">
        <v>288</v>
      </c>
      <c r="E123" s="95">
        <f>+('DOE25'!L287)+('DOE25'!L306)+('DOE25'!L325)</f>
        <v>113966.89000000001</v>
      </c>
      <c r="F123" s="24" t="s">
        <v>288</v>
      </c>
      <c r="G123" s="24" t="s">
        <v>288</v>
      </c>
    </row>
    <row r="124" spans="1:7" x14ac:dyDescent="0.2">
      <c r="A124" t="s">
        <v>218</v>
      </c>
      <c r="B124" s="32" t="s">
        <v>219</v>
      </c>
      <c r="C124" s="95">
        <f>('DOE25'!L209)+('DOE25'!L227)+('DOE25'!L245+'DOE25'!L255)</f>
        <v>1723070.17</v>
      </c>
      <c r="D124" s="24" t="s">
        <v>288</v>
      </c>
      <c r="E124" s="95">
        <f>+('DOE25'!L288)+('DOE25'!L307)+('DOE25'!L326)</f>
        <v>0</v>
      </c>
      <c r="F124" s="24" t="s">
        <v>288</v>
      </c>
      <c r="G124" s="24" t="s">
        <v>288</v>
      </c>
    </row>
    <row r="125" spans="1:7" x14ac:dyDescent="0.2">
      <c r="A125" t="s">
        <v>220</v>
      </c>
      <c r="B125" s="32" t="s">
        <v>221</v>
      </c>
      <c r="C125" s="95">
        <f>('DOE25'!L210)+('DOE25'!L228)+('DOE25'!L246)</f>
        <v>387499.52000000002</v>
      </c>
      <c r="D125" s="24" t="s">
        <v>288</v>
      </c>
      <c r="E125" s="95">
        <f>+('DOE25'!L289)+('DOE25'!L308)+('DOE25'!L327)</f>
        <v>5660.41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536844.4</v>
      </c>
      <c r="E127" s="24" t="s">
        <v>288</v>
      </c>
      <c r="F127" s="24" t="s">
        <v>288</v>
      </c>
      <c r="G127" s="24" t="s">
        <v>288</v>
      </c>
    </row>
    <row r="128" spans="1:7" ht="12.75" thickTop="1" thickBot="1" x14ac:dyDescent="0.25">
      <c r="A128" s="33" t="s">
        <v>226</v>
      </c>
      <c r="C128" s="86">
        <f>SUM(C118:C127)</f>
        <v>8798728.4800000004</v>
      </c>
      <c r="D128" s="86">
        <f>SUM(D118:D127)</f>
        <v>536844.4</v>
      </c>
      <c r="E128" s="86">
        <f>SUM(E118:E127)</f>
        <v>165411.52000000002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13000</v>
      </c>
      <c r="D130" s="24" t="s">
        <v>288</v>
      </c>
      <c r="E130" s="129">
        <f>'DOE25'!L337</f>
        <v>0</v>
      </c>
      <c r="F130" s="129">
        <f>SUM('DOE25'!L375:'DOE25'!L381)</f>
        <v>466822</v>
      </c>
      <c r="G130" s="24" t="s">
        <v>288</v>
      </c>
    </row>
    <row r="131" spans="1:7" x14ac:dyDescent="0.2">
      <c r="A131" t="s">
        <v>229</v>
      </c>
      <c r="B131" s="32">
        <v>5110</v>
      </c>
      <c r="C131" s="95">
        <f>'DOE25'!L261</f>
        <v>1030000</v>
      </c>
      <c r="D131" s="24" t="s">
        <v>288</v>
      </c>
      <c r="E131" s="129">
        <f>'DOE25'!L342</f>
        <v>0</v>
      </c>
      <c r="F131" s="24" t="s">
        <v>288</v>
      </c>
      <c r="G131" s="24" t="s">
        <v>288</v>
      </c>
    </row>
    <row r="132" spans="1:7" x14ac:dyDescent="0.2">
      <c r="A132" t="s">
        <v>230</v>
      </c>
      <c r="B132" s="32">
        <v>5120</v>
      </c>
      <c r="C132" s="95">
        <f>'DOE25'!L262</f>
        <v>128750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84816.15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26822</v>
      </c>
      <c r="D137" s="24" t="s">
        <v>288</v>
      </c>
      <c r="E137" s="129">
        <f>'DOE25'!L347</f>
        <v>0</v>
      </c>
      <c r="F137" s="24" t="s">
        <v>288</v>
      </c>
      <c r="G137" s="24" t="s">
        <v>288</v>
      </c>
    </row>
    <row r="138" spans="1:7" x14ac:dyDescent="0.2">
      <c r="A138" t="s">
        <v>238</v>
      </c>
      <c r="B138" s="32">
        <v>5251</v>
      </c>
      <c r="C138" s="95">
        <f>'DOE25'!L394</f>
        <v>5155.0600000000004</v>
      </c>
      <c r="D138" s="24" t="s">
        <v>288</v>
      </c>
      <c r="E138" s="24" t="s">
        <v>288</v>
      </c>
      <c r="F138" s="24" t="s">
        <v>288</v>
      </c>
      <c r="G138" s="24" t="s">
        <v>288</v>
      </c>
    </row>
    <row r="139" spans="1:7" x14ac:dyDescent="0.2">
      <c r="A139" t="s">
        <v>239</v>
      </c>
      <c r="B139" s="32">
        <v>5252</v>
      </c>
      <c r="C139" s="95">
        <f>'DOE25'!L402</f>
        <v>109642.37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-14797.429999999993</v>
      </c>
      <c r="D141" s="24" t="s">
        <v>288</v>
      </c>
      <c r="E141" s="24" t="s">
        <v>288</v>
      </c>
      <c r="F141" s="24" t="s">
        <v>288</v>
      </c>
      <c r="G141" s="24" t="s">
        <v>288</v>
      </c>
    </row>
    <row r="142" spans="1:7" x14ac:dyDescent="0.2">
      <c r="A142" t="s">
        <v>241</v>
      </c>
      <c r="B142" s="32">
        <v>5310</v>
      </c>
      <c r="C142" s="129">
        <f>'DOE25'!L269</f>
        <v>88946.75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1472334.9000000001</v>
      </c>
      <c r="D144" s="141">
        <f>SUM(D130:D143)</f>
        <v>0</v>
      </c>
      <c r="E144" s="141">
        <f>SUM(E130:E143)</f>
        <v>0</v>
      </c>
      <c r="F144" s="141">
        <f>SUM(F130:F143)</f>
        <v>466822</v>
      </c>
      <c r="G144" s="141">
        <f>SUM(G130:G143)</f>
        <v>0</v>
      </c>
    </row>
    <row r="145" spans="1:9" ht="12.75" thickTop="1" thickBot="1" x14ac:dyDescent="0.25">
      <c r="A145" s="33" t="s">
        <v>244</v>
      </c>
      <c r="C145" s="86">
        <f>(C115+C128+C144)</f>
        <v>32725563.07</v>
      </c>
      <c r="D145" s="86">
        <f>(D115+D128+D144)</f>
        <v>536844.4</v>
      </c>
      <c r="E145" s="86">
        <f>(E115+E128+E144)</f>
        <v>934765.47</v>
      </c>
      <c r="F145" s="86">
        <f>(F115+F128+F144)</f>
        <v>466822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05/02</v>
      </c>
      <c r="C152" s="152">
        <f>'DOE25'!G492</f>
        <v>0</v>
      </c>
      <c r="D152" s="152">
        <f>'DOE25'!H492</f>
        <v>0</v>
      </c>
      <c r="E152" s="152">
        <f>'DOE25'!I492</f>
        <v>0</v>
      </c>
      <c r="F152" s="152">
        <f>'DOE25'!J492</f>
        <v>0</v>
      </c>
      <c r="G152" s="24" t="s">
        <v>288</v>
      </c>
    </row>
    <row r="153" spans="1:9" x14ac:dyDescent="0.2">
      <c r="A153" s="136" t="s">
        <v>29</v>
      </c>
      <c r="B153" s="152" t="str">
        <f>'DOE25'!F493</f>
        <v>07/22</v>
      </c>
      <c r="C153" s="152">
        <f>'DOE25'!G493</f>
        <v>0</v>
      </c>
      <c r="D153" s="152">
        <f>'DOE25'!H493</f>
        <v>0</v>
      </c>
      <c r="E153" s="152">
        <f>'DOE25'!I493</f>
        <v>0</v>
      </c>
      <c r="F153" s="152">
        <f>'DOE25'!J493</f>
        <v>0</v>
      </c>
      <c r="G153" s="24" t="s">
        <v>288</v>
      </c>
    </row>
    <row r="154" spans="1:9" x14ac:dyDescent="0.2">
      <c r="A154" s="136" t="s">
        <v>30</v>
      </c>
      <c r="B154" s="137">
        <f>'DOE25'!F494</f>
        <v>30732213.059999999</v>
      </c>
      <c r="C154" s="137">
        <f>'DOE25'!G494</f>
        <v>0</v>
      </c>
      <c r="D154" s="137">
        <f>'DOE25'!H494</f>
        <v>0</v>
      </c>
      <c r="E154" s="137">
        <f>'DOE25'!I494</f>
        <v>0</v>
      </c>
      <c r="F154" s="137">
        <f>'DOE25'!J494</f>
        <v>0</v>
      </c>
      <c r="G154" s="24" t="s">
        <v>288</v>
      </c>
    </row>
    <row r="155" spans="1:9" x14ac:dyDescent="0.2">
      <c r="A155" s="136" t="s">
        <v>31</v>
      </c>
      <c r="B155" s="137">
        <f>'DOE25'!F495</f>
        <v>4.51</v>
      </c>
      <c r="C155" s="137">
        <f>'DOE25'!G495</f>
        <v>0</v>
      </c>
      <c r="D155" s="137">
        <f>'DOE25'!H495</f>
        <v>0</v>
      </c>
      <c r="E155" s="137">
        <f>'DOE25'!I495</f>
        <v>0</v>
      </c>
      <c r="F155" s="137">
        <f>'DOE25'!J495</f>
        <v>0</v>
      </c>
      <c r="G155" s="24" t="s">
        <v>288</v>
      </c>
    </row>
    <row r="156" spans="1:9" x14ac:dyDescent="0.2">
      <c r="A156" s="22" t="s">
        <v>32</v>
      </c>
      <c r="B156" s="137">
        <f>'DOE25'!F496</f>
        <v>3090000</v>
      </c>
      <c r="C156" s="137">
        <f>'DOE25'!G496</f>
        <v>0</v>
      </c>
      <c r="D156" s="137">
        <f>'DOE25'!H496</f>
        <v>0</v>
      </c>
      <c r="E156" s="137">
        <f>'DOE25'!I496</f>
        <v>0</v>
      </c>
      <c r="F156" s="137">
        <f>'DOE25'!J496</f>
        <v>0</v>
      </c>
      <c r="G156" s="138">
        <f>SUM(B156:F156)</f>
        <v>3090000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1158750</v>
      </c>
      <c r="C158" s="137">
        <f>'DOE25'!G498</f>
        <v>0</v>
      </c>
      <c r="D158" s="137">
        <f>'DOE25'!H498</f>
        <v>0</v>
      </c>
      <c r="E158" s="137">
        <f>'DOE25'!I498</f>
        <v>0</v>
      </c>
      <c r="F158" s="137">
        <f>'DOE25'!J498</f>
        <v>0</v>
      </c>
      <c r="G158" s="138">
        <f t="shared" si="0"/>
        <v>1158750</v>
      </c>
    </row>
    <row r="159" spans="1:9" x14ac:dyDescent="0.2">
      <c r="A159" s="22" t="s">
        <v>35</v>
      </c>
      <c r="B159" s="137">
        <f>'DOE25'!F499</f>
        <v>2060000</v>
      </c>
      <c r="C159" s="137">
        <f>'DOE25'!G499</f>
        <v>0</v>
      </c>
      <c r="D159" s="137">
        <f>'DOE25'!H499</f>
        <v>0</v>
      </c>
      <c r="E159" s="137">
        <f>'DOE25'!I499</f>
        <v>0</v>
      </c>
      <c r="F159" s="137">
        <f>'DOE25'!J499</f>
        <v>0</v>
      </c>
      <c r="G159" s="138">
        <f t="shared" si="0"/>
        <v>2060000</v>
      </c>
    </row>
    <row r="160" spans="1:9" x14ac:dyDescent="0.2">
      <c r="A160" s="22" t="s">
        <v>36</v>
      </c>
      <c r="B160" s="137">
        <f>'DOE25'!F500</f>
        <v>103000</v>
      </c>
      <c r="C160" s="137">
        <f>'DOE25'!G500</f>
        <v>0</v>
      </c>
      <c r="D160" s="137">
        <f>'DOE25'!H500</f>
        <v>0</v>
      </c>
      <c r="E160" s="137">
        <f>'DOE25'!I500</f>
        <v>0</v>
      </c>
      <c r="F160" s="137">
        <f>'DOE25'!J500</f>
        <v>0</v>
      </c>
      <c r="G160" s="138">
        <f t="shared" si="0"/>
        <v>103000</v>
      </c>
    </row>
    <row r="161" spans="1:7" x14ac:dyDescent="0.2">
      <c r="A161" s="22" t="s">
        <v>37</v>
      </c>
      <c r="B161" s="137">
        <f>'DOE25'!F501</f>
        <v>2163000</v>
      </c>
      <c r="C161" s="137">
        <f>'DOE25'!G501</f>
        <v>0</v>
      </c>
      <c r="D161" s="137">
        <f>'DOE25'!H501</f>
        <v>0</v>
      </c>
      <c r="E161" s="137">
        <f>'DOE25'!I501</f>
        <v>0</v>
      </c>
      <c r="F161" s="137">
        <f>'DOE25'!J501</f>
        <v>0</v>
      </c>
      <c r="G161" s="138">
        <f t="shared" si="0"/>
        <v>2163000</v>
      </c>
    </row>
    <row r="162" spans="1:7" x14ac:dyDescent="0.2">
      <c r="A162" s="22" t="s">
        <v>38</v>
      </c>
      <c r="B162" s="137">
        <f>'DOE25'!F502</f>
        <v>1030000</v>
      </c>
      <c r="C162" s="137">
        <f>'DOE25'!G502</f>
        <v>0</v>
      </c>
      <c r="D162" s="137">
        <f>'DOE25'!H502</f>
        <v>0</v>
      </c>
      <c r="E162" s="137">
        <f>'DOE25'!I502</f>
        <v>0</v>
      </c>
      <c r="F162" s="137">
        <f>'DOE25'!J502</f>
        <v>0</v>
      </c>
      <c r="G162" s="138">
        <f t="shared" si="0"/>
        <v>1030000</v>
      </c>
    </row>
    <row r="163" spans="1:7" x14ac:dyDescent="0.2">
      <c r="A163" s="22" t="s">
        <v>39</v>
      </c>
      <c r="B163" s="137">
        <f>'DOE25'!F503</f>
        <v>77250</v>
      </c>
      <c r="C163" s="137">
        <f>'DOE25'!G503</f>
        <v>0</v>
      </c>
      <c r="D163" s="137">
        <f>'DOE25'!H503</f>
        <v>0</v>
      </c>
      <c r="E163" s="137">
        <f>'DOE25'!I503</f>
        <v>0</v>
      </c>
      <c r="F163" s="137">
        <f>'DOE25'!J503</f>
        <v>0</v>
      </c>
      <c r="G163" s="138">
        <f t="shared" si="0"/>
        <v>77250</v>
      </c>
    </row>
    <row r="164" spans="1:7" x14ac:dyDescent="0.2">
      <c r="A164" s="22" t="s">
        <v>246</v>
      </c>
      <c r="B164" s="137">
        <f>'DOE25'!F504</f>
        <v>1107250</v>
      </c>
      <c r="C164" s="137">
        <f>'DOE25'!G504</f>
        <v>0</v>
      </c>
      <c r="D164" s="137">
        <f>'DOE25'!H504</f>
        <v>0</v>
      </c>
      <c r="E164" s="137">
        <f>'DOE25'!I504</f>
        <v>0</v>
      </c>
      <c r="F164" s="137">
        <f>'DOE25'!J504</f>
        <v>0</v>
      </c>
      <c r="G164" s="138">
        <f t="shared" si="0"/>
        <v>1107250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Hooksett School District</v>
      </c>
    </row>
    <row r="3" spans="1:4" x14ac:dyDescent="0.2">
      <c r="B3" s="188" t="s">
        <v>1666</v>
      </c>
    </row>
    <row r="4" spans="1:4" x14ac:dyDescent="0.2">
      <c r="B4" t="s">
        <v>61</v>
      </c>
      <c r="C4" s="179">
        <f>IF('DOE25'!F666+'DOE25'!F671=0,0,ROUND('DOE25'!F673,0))</f>
        <v>16176</v>
      </c>
    </row>
    <row r="5" spans="1:4" x14ac:dyDescent="0.2">
      <c r="B5" t="s">
        <v>700</v>
      </c>
      <c r="C5" s="179">
        <f>IF('DOE25'!G666+'DOE25'!G671=0,0,ROUND('DOE25'!G673,0))</f>
        <v>17011</v>
      </c>
    </row>
    <row r="6" spans="1:4" x14ac:dyDescent="0.2">
      <c r="B6" t="s">
        <v>62</v>
      </c>
      <c r="C6" s="179">
        <f>IF('DOE25'!H666+'DOE25'!H671=0,0,ROUND('DOE25'!H673,0))</f>
        <v>0</v>
      </c>
    </row>
    <row r="7" spans="1:4" x14ac:dyDescent="0.2">
      <c r="B7" t="s">
        <v>701</v>
      </c>
      <c r="C7" s="179">
        <f>IF('DOE25'!I666+'DOE25'!I671=0,0,ROUND('DOE25'!I673,0))</f>
        <v>16493</v>
      </c>
    </row>
    <row r="9" spans="1:4" x14ac:dyDescent="0.2">
      <c r="A9" s="187" t="s">
        <v>94</v>
      </c>
      <c r="B9" s="188" t="s">
        <v>1671</v>
      </c>
      <c r="C9" s="181" t="s">
        <v>720</v>
      </c>
      <c r="D9" s="181" t="s">
        <v>721</v>
      </c>
    </row>
    <row r="10" spans="1:4" x14ac:dyDescent="0.2">
      <c r="A10">
        <v>1100</v>
      </c>
      <c r="B10" t="s">
        <v>702</v>
      </c>
      <c r="C10" s="179">
        <f>ROUND('DOE25'!L198+'DOE25'!L216+'DOE25'!L234+'DOE25'!L277+'DOE25'!L296+'DOE25'!L315,0)</f>
        <v>16204131</v>
      </c>
      <c r="D10" s="182">
        <f>ROUND((C10/$C$28)*100,1)</f>
        <v>49.3</v>
      </c>
    </row>
    <row r="11" spans="1:4" x14ac:dyDescent="0.2">
      <c r="A11">
        <v>1200</v>
      </c>
      <c r="B11" t="s">
        <v>703</v>
      </c>
      <c r="C11" s="179">
        <f>ROUND('DOE25'!L199+'DOE25'!L217+'DOE25'!L235+'DOE25'!L278+'DOE25'!L297+'DOE25'!L316,0)</f>
        <v>6944034</v>
      </c>
      <c r="D11" s="182">
        <f>ROUND((C11/$C$28)*100,1)</f>
        <v>21.1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75689</v>
      </c>
      <c r="D13" s="182">
        <f>ROUND((C13/$C$28)*100,1)</f>
        <v>0.2</v>
      </c>
    </row>
    <row r="14" spans="1:4" x14ac:dyDescent="0.2">
      <c r="D14" s="182"/>
    </row>
    <row r="15" spans="1:4" x14ac:dyDescent="0.2">
      <c r="A15">
        <v>2100</v>
      </c>
      <c r="B15" t="s">
        <v>706</v>
      </c>
      <c r="C15" s="179">
        <f>ROUND('DOE25'!L203+'DOE25'!L221+'DOE25'!L239+'DOE25'!L282+'DOE25'!L301+'DOE25'!L320,0)</f>
        <v>2210998</v>
      </c>
      <c r="D15" s="182">
        <f t="shared" ref="D15:D27" si="0">ROUND((C15/$C$28)*100,1)</f>
        <v>6.7</v>
      </c>
    </row>
    <row r="16" spans="1:4" x14ac:dyDescent="0.2">
      <c r="A16">
        <v>2200</v>
      </c>
      <c r="B16" t="s">
        <v>707</v>
      </c>
      <c r="C16" s="179">
        <f>ROUND('DOE25'!L204+'DOE25'!L222+'DOE25'!L240+'DOE25'!L283+'DOE25'!L302+'DOE25'!L321,0)</f>
        <v>568933</v>
      </c>
      <c r="D16" s="182">
        <f t="shared" si="0"/>
        <v>1.7</v>
      </c>
    </row>
    <row r="17" spans="1:4" x14ac:dyDescent="0.2">
      <c r="A17" s="183" t="s">
        <v>723</v>
      </c>
      <c r="B17" t="s">
        <v>738</v>
      </c>
      <c r="C17" s="179">
        <f>ROUND('DOE25'!L205+'DOE25'!L210+'DOE25'!L223+'DOE25'!L228+'DOE25'!L241+'DOE25'!L246+'DOE25'!L284+'DOE25'!L289+'DOE25'!L303+'DOE25'!L308+'DOE25'!L322+'DOE25'!L327,0)</f>
        <v>1197096</v>
      </c>
      <c r="D17" s="182">
        <f t="shared" si="0"/>
        <v>3.6</v>
      </c>
    </row>
    <row r="18" spans="1:4" x14ac:dyDescent="0.2">
      <c r="A18">
        <v>2400</v>
      </c>
      <c r="B18" t="s">
        <v>711</v>
      </c>
      <c r="C18" s="179">
        <f>ROUND('DOE25'!L206+'DOE25'!L224+'DOE25'!L242+'DOE25'!L285+'DOE25'!L304+'DOE25'!L323,0)</f>
        <v>1314070</v>
      </c>
      <c r="D18" s="182">
        <f t="shared" si="0"/>
        <v>4</v>
      </c>
    </row>
    <row r="19" spans="1:4" x14ac:dyDescent="0.2">
      <c r="A19">
        <v>2500</v>
      </c>
      <c r="B19" t="s">
        <v>708</v>
      </c>
      <c r="C19" s="179">
        <f>ROUND('DOE25'!L207+'DOE25'!L225+'DOE25'!L243+'DOE25'!L286+'DOE25'!L305+'DOE25'!L324,0)</f>
        <v>6688</v>
      </c>
      <c r="D19" s="182">
        <f t="shared" si="0"/>
        <v>0</v>
      </c>
    </row>
    <row r="20" spans="1:4" x14ac:dyDescent="0.2">
      <c r="A20">
        <v>2600</v>
      </c>
      <c r="B20" t="s">
        <v>709</v>
      </c>
      <c r="C20" s="179">
        <f>ROUND('DOE25'!L208+'DOE25'!L226+'DOE25'!L244+'DOE25'!L287+'DOE25'!L306+'DOE25'!L325,0)</f>
        <v>1943285</v>
      </c>
      <c r="D20" s="182">
        <f t="shared" si="0"/>
        <v>5.9</v>
      </c>
    </row>
    <row r="21" spans="1:4" x14ac:dyDescent="0.2">
      <c r="A21">
        <v>2700</v>
      </c>
      <c r="B21" t="s">
        <v>710</v>
      </c>
      <c r="C21" s="179">
        <f>ROUND('DOE25'!L209+'DOE25'!L227+'DOE25'!L245+'DOE25'!L288+'DOE25'!L307+'DOE25'!L326,0)</f>
        <v>1723070</v>
      </c>
      <c r="D21" s="182">
        <f t="shared" si="0"/>
        <v>5.2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128750</v>
      </c>
      <c r="D25" s="182">
        <f t="shared" si="0"/>
        <v>0.4</v>
      </c>
    </row>
    <row r="26" spans="1:4" x14ac:dyDescent="0.2">
      <c r="A26" s="183" t="s">
        <v>717</v>
      </c>
      <c r="B26" t="s">
        <v>718</v>
      </c>
      <c r="C26" s="179">
        <f>'DOE25'!L269+'DOE25'!L270+'DOE25'!L350+'DOE25'!L351</f>
        <v>88946.75</v>
      </c>
      <c r="D26" s="182">
        <f t="shared" si="0"/>
        <v>0.3</v>
      </c>
    </row>
    <row r="27" spans="1:4" x14ac:dyDescent="0.2">
      <c r="A27">
        <v>3100</v>
      </c>
      <c r="B27" t="s">
        <v>11</v>
      </c>
      <c r="C27" s="179">
        <f>ROUND('DOE25'!L363-'DOE25'!L362,0)-SUM('DOE25'!G97:G110)</f>
        <v>461182.94</v>
      </c>
      <c r="D27" s="182">
        <f t="shared" si="0"/>
        <v>1.4</v>
      </c>
    </row>
    <row r="28" spans="1:4" x14ac:dyDescent="0.2">
      <c r="B28" s="187" t="s">
        <v>719</v>
      </c>
      <c r="C28" s="180">
        <f>SUM(C10:C27)</f>
        <v>32866873.690000001</v>
      </c>
      <c r="D28" s="184">
        <f>ROUND(SUM(D10:D27),0)</f>
        <v>100</v>
      </c>
    </row>
    <row r="29" spans="1:4" x14ac:dyDescent="0.2">
      <c r="A29">
        <v>4000</v>
      </c>
      <c r="B29" t="s">
        <v>724</v>
      </c>
      <c r="C29" s="179">
        <f>ROUND('DOE25'!L256+'DOE25'!L337+'DOE25'!L375+'DOE25'!L376+'DOE25'!L377+'DOE25'!L378+'DOE25'!L379+'DOE25'!L380+'DOE25'!L381,0)</f>
        <v>479822</v>
      </c>
    </row>
    <row r="30" spans="1:4" x14ac:dyDescent="0.2">
      <c r="B30" s="187" t="s">
        <v>725</v>
      </c>
      <c r="C30" s="180">
        <f>SUM(C28:C29)</f>
        <v>33346695.690000001</v>
      </c>
    </row>
    <row r="31" spans="1:4" x14ac:dyDescent="0.2">
      <c r="B31" s="33"/>
      <c r="C31" s="180"/>
    </row>
    <row r="32" spans="1:4" x14ac:dyDescent="0.2">
      <c r="A32">
        <v>5100</v>
      </c>
      <c r="B32" s="33" t="s">
        <v>726</v>
      </c>
      <c r="C32" s="180">
        <f>ROUND('DOE25'!L261+'DOE25'!L342,0)</f>
        <v>1030000</v>
      </c>
    </row>
    <row r="34" spans="1:4" x14ac:dyDescent="0.2">
      <c r="A34" s="187" t="s">
        <v>94</v>
      </c>
      <c r="B34" s="188" t="s">
        <v>1667</v>
      </c>
      <c r="C34" s="181" t="s">
        <v>720</v>
      </c>
      <c r="D34" s="181" t="s">
        <v>721</v>
      </c>
    </row>
    <row r="35" spans="1:4" x14ac:dyDescent="0.2">
      <c r="A35">
        <v>1100</v>
      </c>
      <c r="B35" s="185" t="s">
        <v>727</v>
      </c>
      <c r="C35" s="179">
        <f>ROUND('DOE25'!F60+'DOE25'!G60+'DOE25'!H60+'DOE25'!I60+'DOE25'!J60,0)</f>
        <v>24421421</v>
      </c>
      <c r="D35" s="182">
        <f t="shared" ref="D35:D40" si="1">ROUND((C35/$C$41)*100,1)</f>
        <v>69.900000000000006</v>
      </c>
    </row>
    <row r="36" spans="1:4" x14ac:dyDescent="0.2">
      <c r="B36" s="185" t="s">
        <v>739</v>
      </c>
      <c r="C36" s="179">
        <f>SUM('DOE25'!F112:J112)-SUM('DOE25'!G97:G110)+('DOE25'!F175+'DOE25'!F176+'DOE25'!I175+'DOE25'!I176)-C35</f>
        <v>333300.80000000075</v>
      </c>
      <c r="D36" s="182">
        <f t="shared" si="1"/>
        <v>1</v>
      </c>
    </row>
    <row r="37" spans="1:4" x14ac:dyDescent="0.2">
      <c r="A37" s="183" t="s">
        <v>835</v>
      </c>
      <c r="B37" s="185" t="s">
        <v>728</v>
      </c>
      <c r="C37" s="179">
        <f>ROUND('DOE25'!F117+'DOE25'!F118,0)</f>
        <v>8071669</v>
      </c>
      <c r="D37" s="182">
        <f t="shared" si="1"/>
        <v>23.1</v>
      </c>
    </row>
    <row r="38" spans="1:4" x14ac:dyDescent="0.2">
      <c r="A38" s="183" t="s">
        <v>734</v>
      </c>
      <c r="B38" s="185" t="s">
        <v>729</v>
      </c>
      <c r="C38" s="179">
        <f>ROUND(SUM('DOE25'!F140:J140)-SUM('DOE25'!F117:F119),0)</f>
        <v>824590</v>
      </c>
      <c r="D38" s="182">
        <f t="shared" si="1"/>
        <v>2.4</v>
      </c>
    </row>
    <row r="39" spans="1:4" x14ac:dyDescent="0.2">
      <c r="A39">
        <v>4000</v>
      </c>
      <c r="B39" s="185" t="s">
        <v>730</v>
      </c>
      <c r="C39" s="179">
        <f>ROUND('DOE25'!F170+'DOE25'!G170+'DOE25'!H170+'DOE25'!I170,0)</f>
        <v>1304428</v>
      </c>
      <c r="D39" s="182">
        <f t="shared" si="1"/>
        <v>3.7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34955408.799999997</v>
      </c>
      <c r="D41" s="184">
        <f>SUM(D35:D40)</f>
        <v>100.10000000000001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Hooksett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2021-09-23T14:41:17Z</cp:lastPrinted>
  <dcterms:created xsi:type="dcterms:W3CDTF">1997-12-04T19:04:30Z</dcterms:created>
  <dcterms:modified xsi:type="dcterms:W3CDTF">2021-12-07T20:10:35Z</dcterms:modified>
</cp:coreProperties>
</file>