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8800" windowHeight="122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D115" i="2"/>
  <c r="F115" i="2"/>
  <c r="G115" i="2"/>
  <c r="C119"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G477" i="1" s="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G62" i="2"/>
  <c r="I170" i="1"/>
  <c r="A40" i="12" l="1"/>
  <c r="J652" i="1"/>
  <c r="J656" i="1"/>
  <c r="E121" i="2"/>
  <c r="C13" i="10"/>
  <c r="E112" i="2"/>
  <c r="K339" i="1"/>
  <c r="K353" i="1" s="1"/>
  <c r="H663" i="1"/>
  <c r="J572" i="1"/>
  <c r="J258" i="1"/>
  <c r="E123" i="2"/>
  <c r="E119" i="2"/>
  <c r="E110" i="2"/>
  <c r="D15" i="13"/>
  <c r="C15" i="13" s="1"/>
  <c r="D6" i="13"/>
  <c r="C6" i="13" s="1"/>
  <c r="E13" i="13"/>
  <c r="C13" i="13" s="1"/>
  <c r="H409" i="1"/>
  <c r="H645" i="1" s="1"/>
  <c r="G339" i="1"/>
  <c r="G353" i="1" s="1"/>
  <c r="D50" i="2"/>
  <c r="G662"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C141" i="2" l="1"/>
  <c r="C144" i="2" s="1"/>
  <c r="E128" i="2"/>
  <c r="H649" i="1"/>
  <c r="J649" i="1" s="1"/>
  <c r="E115" i="2"/>
  <c r="I663" i="1"/>
  <c r="E51" i="2"/>
  <c r="C81" i="2"/>
  <c r="H661" i="1"/>
  <c r="H665" i="1" s="1"/>
  <c r="H668" i="1" s="1"/>
  <c r="H194" i="1"/>
  <c r="G630" i="1" s="1"/>
  <c r="J630" i="1" s="1"/>
  <c r="F51" i="2"/>
  <c r="H36" i="14"/>
  <c r="I36" i="14" s="1"/>
  <c r="G36" i="14"/>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<sst xmlns="http://schemas.openxmlformats.org/spreadsheetml/2006/main" count="5575" uniqueCount="1674">
  <si>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</si>
  <si>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</si>
  <si>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</si>
  <si>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</si>
  <si>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</si>
  <si>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</si>
  <si>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</si>
  <si>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</si>
  <si>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</si>
  <si>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</si>
  <si>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</si>
  <si>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</si>
  <si>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</si>
  <si>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</si>
  <si>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</si>
  <si>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</si>
  <si>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</si>
  <si>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</si>
  <si>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</si>
  <si>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</si>
  <si>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</si>
  <si>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</si>
  <si>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</si>
  <si>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</si>
  <si>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</si>
  <si>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</si>
  <si>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</si>
  <si>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</si>
  <si>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</si>
  <si>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</si>
  <si>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</si>
  <si>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</si>
  <si>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</si>
  <si>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</si>
  <si>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</si>
  <si>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</si>
  <si>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</si>
  <si>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</si>
  <si>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</si>
  <si>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</si>
  <si>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</si>
  <si>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</si>
  <si>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</si>
  <si>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</si>
  <si>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</si>
  <si>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</si>
  <si>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</si>
  <si>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</si>
  <si>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</si>
  <si>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</si>
  <si>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</si>
  <si>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</si>
  <si>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</si>
  <si>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</si>
  <si>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</si>
  <si>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</si>
  <si>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</si>
  <si>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</si>
  <si>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</si>
  <si>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</si>
  <si>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</si>
  <si>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</si>
  <si>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</si>
  <si>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</si>
  <si>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</si>
  <si>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</si>
  <si>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</si>
  <si>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</si>
  <si>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</si>
  <si>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</si>
  <si>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</si>
  <si>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</si>
  <si>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</si>
  <si>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</si>
  <si>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</si>
  <si>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</si>
  <si>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</si>
  <si>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</si>
  <si>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</si>
  <si>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</si>
  <si>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</si>
  <si>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</si>
  <si>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</si>
  <si>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</si>
  <si>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</si>
  <si>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</si>
  <si>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</si>
  <si>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</si>
  <si>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</si>
  <si>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</si>
  <si>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</si>
  <si>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</si>
  <si>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</si>
  <si>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</si>
  <si>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</si>
  <si>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</si>
  <si>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</si>
  <si>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</si>
  <si>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</si>
  <si>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</si>
  <si>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</si>
  <si>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</si>
  <si>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</si>
  <si>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</si>
  <si>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</si>
  <si>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</si>
  <si>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</si>
  <si>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</si>
  <si>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</si>
  <si>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</si>
  <si>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</si>
  <si>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</si>
  <si>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</si>
  <si>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</si>
  <si>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</si>
  <si>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</si>
  <si>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</si>
  <si>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</si>
  <si>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</si>
  <si>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</si>
  <si>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</si>
  <si>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</si>
  <si>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</si>
  <si>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</si>
  <si>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</si>
  <si>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</si>
  <si>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</si>
  <si>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</si>
  <si>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</si>
  <si>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</si>
  <si>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</si>
  <si>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</si>
  <si>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</si>
  <si>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</si>
  <si>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</si>
  <si>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</si>
  <si>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</si>
  <si>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</si>
  <si>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</si>
  <si>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</si>
  <si>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</si>
  <si>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</si>
  <si>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</si>
  <si>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</si>
  <si>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</si>
  <si>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</si>
  <si>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</si>
  <si>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</si>
  <si>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</si>
  <si>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</si>
  <si>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</si>
  <si>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</si>
  <si>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</si>
  <si>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</si>
  <si>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</si>
  <si>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</si>
  <si>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</si>
  <si>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</si>
  <si>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</si>
  <si>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</si>
  <si>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</si>
  <si>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</si>
  <si>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</si>
  <si>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</si>
  <si>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</si>
  <si>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</si>
  <si>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</si>
  <si>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</si>
  <si>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</si>
  <si>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</si>
  <si>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</si>
  <si>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</si>
  <si>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</si>
  <si>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</si>
  <si>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</si>
  <si>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</si>
  <si>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</si>
  <si>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</si>
  <si>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</si>
  <si>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</si>
  <si>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</si>
  <si>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</si>
  <si>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</si>
  <si>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</si>
  <si>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</si>
  <si>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</si>
  <si>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</si>
  <si>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</si>
  <si>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</si>
  <si>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</si>
  <si>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</si>
  <si>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</si>
  <si>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</si>
  <si>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</si>
  <si>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</si>
  <si>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</si>
  <si>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</si>
  <si>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</si>
  <si>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</si>
  <si>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</si>
  <si>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</si>
  <si>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</si>
  <si>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</si>
  <si>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</si>
  <si>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</si>
  <si>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</si>
  <si>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</si>
  <si>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</si>
  <si>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</si>
  <si>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</si>
  <si>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</si>
  <si>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</si>
  <si>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</si>
  <si>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</si>
  <si>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</si>
  <si>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</si>
  <si>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</si>
  <si>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</si>
  <si>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</si>
  <si>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</si>
  <si>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</si>
  <si>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</si>
  <si>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</si>
  <si>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</si>
  <si>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</si>
  <si>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</si>
  <si>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</si>
  <si>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</si>
  <si>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</si>
  <si>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</si>
  <si>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</si>
  <si>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</si>
  <si>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</si>
  <si>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</si>
  <si>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</si>
  <si>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</si>
  <si>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</si>
  <si>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</si>
  <si>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</si>
  <si>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</si>
  <si>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</si>
  <si>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</si>
  <si>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</si>
  <si>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</si>
  <si>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</si>
  <si>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</si>
  <si>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</si>
  <si>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</si>
  <si>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</si>
  <si>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</si>
  <si>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</si>
  <si>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</si>
  <si>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</si>
  <si>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</si>
  <si>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</si>
  <si>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</si>
  <si>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</si>
  <si>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</si>
  <si>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</si>
  <si>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</si>
  <si>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</si>
  <si>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</si>
  <si>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</si>
  <si>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</si>
  <si>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</si>
  <si>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</si>
  <si>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</si>
  <si>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</si>
  <si>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</si>
  <si>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</si>
  <si>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</si>
  <si>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</si>
  <si>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</si>
  <si>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</si>
  <si>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</si>
  <si>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</si>
  <si>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</si>
  <si>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</si>
  <si>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</si>
  <si>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</si>
  <si>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</si>
  <si>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</si>
  <si>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</si>
  <si>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</si>
  <si>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</si>
  <si>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</si>
  <si>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</si>
  <si>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</si>
  <si>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</si>
  <si>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</si>
  <si>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</si>
  <si>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</si>
  <si>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</si>
  <si>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</si>
  <si>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</si>
  <si>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</si>
  <si>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</si>
  <si>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</si>
  <si>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</si>
  <si>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</si>
  <si>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</si>
  <si>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</si>
  <si>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</si>
  <si>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</si>
  <si>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</si>
  <si>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</si>
  <si>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</si>
  <si>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</si>
  <si>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</si>
  <si>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</si>
  <si>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</si>
  <si>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</si>
  <si>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</si>
  <si>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</si>
  <si>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</si>
  <si>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</si>
  <si>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</si>
  <si>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</si>
  <si>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</si>
  <si>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</si>
  <si>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</si>
  <si>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</si>
  <si>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</si>
  <si>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</si>
  <si>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</si>
  <si>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</si>
  <si>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</si>
  <si>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</si>
  <si>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</si>
  <si>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</si>
  <si>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</si>
  <si>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</si>
  <si>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</si>
  <si>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</si>
  <si>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</si>
  <si>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</si>
  <si>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</si>
  <si>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</si>
  <si>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</si>
  <si>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</si>
  <si>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</si>
  <si>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</si>
  <si>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</si>
  <si>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</si>
  <si>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</si>
  <si>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</si>
  <si>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</si>
  <si>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</si>
  <si>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</si>
  <si>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</si>
  <si>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</si>
  <si>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</si>
  <si>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</si>
  <si>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</si>
  <si>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</si>
  <si>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</si>
  <si>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</si>
  <si>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</si>
  <si>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</si>
  <si>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</si>
  <si>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</si>
  <si>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</si>
  <si>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</si>
  <si>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</si>
  <si>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</si>
  <si>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</si>
  <si>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</si>
  <si>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</si>
  <si>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</si>
  <si>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</si>
  <si>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</si>
  <si>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</si>
  <si>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</si>
  <si>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</si>
  <si>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</si>
  <si>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</si>
  <si>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</si>
  <si>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</si>
  <si>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</si>
  <si>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</si>
  <si>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</si>
  <si>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</si>
  <si>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</si>
  <si>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</si>
  <si>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</si>
  <si>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</si>
  <si>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</si>
  <si>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</si>
  <si>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</si>
  <si>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</si>
  <si>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</si>
  <si>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</si>
  <si>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</si>
  <si>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</si>
  <si>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</si>
  <si>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</si>
  <si>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</si>
  <si>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</si>
  <si>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</si>
  <si>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</si>
  <si>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</si>
  <si>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</si>
  <si>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</si>
  <si>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</si>
  <si>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</si>
  <si>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</si>
  <si>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</si>
  <si>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</si>
  <si>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</si>
  <si>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</si>
  <si>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</si>
  <si>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</si>
  <si>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</si>
  <si>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</si>
  <si>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</si>
  <si>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</si>
  <si>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</si>
  <si>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</si>
  <si>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</si>
  <si>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</si>
  <si>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</si>
  <si>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</si>
  <si>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</si>
  <si>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</si>
  <si>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</si>
  <si>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</si>
  <si>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</si>
  <si>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</si>
  <si>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</si>
  <si>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</si>
  <si>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</si>
  <si>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</si>
  <si>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</si>
  <si>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</si>
  <si>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</si>
  <si>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</si>
  <si>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</si>
  <si>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</si>
  <si>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</si>
  <si>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</si>
  <si>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</si>
  <si>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</si>
  <si>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</si>
  <si>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</si>
  <si>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</si>
  <si>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</si>
  <si>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</si>
  <si>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</si>
  <si>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</si>
  <si>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</si>
  <si>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</si>
  <si>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</si>
  <si>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</si>
  <si>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</si>
  <si>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</si>
  <si>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</si>
  <si>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</si>
  <si>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</si>
  <si>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</si>
  <si>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</si>
  <si>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</si>
  <si>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</si>
  <si>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</si>
  <si>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</si>
  <si>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</si>
  <si>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</si>
  <si>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</si>
  <si>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</si>
  <si>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</si>
  <si>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</si>
  <si>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</si>
  <si>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</si>
  <si>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</si>
  <si>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</si>
  <si>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</si>
  <si>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</si>
  <si>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</si>
  <si>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</si>
  <si>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</si>
  <si>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</si>
  <si>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</si>
  <si>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</si>
  <si>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</si>
  <si>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</si>
  <si>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</si>
  <si>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</si>
  <si>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</si>
  <si>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</si>
  <si>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</si>
  <si>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</si>
  <si>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</si>
  <si>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</si>
  <si>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</si>
  <si>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</si>
  <si>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</si>
  <si>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</si>
  <si>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</si>
  <si>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</si>
  <si>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</si>
  <si>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</si>
  <si>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</si>
  <si>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</si>
  <si>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</si>
  <si>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</si>
  <si>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</si>
  <si>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</si>
  <si>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</si>
  <si>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</si>
  <si>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</si>
  <si>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</si>
  <si>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</si>
  <si>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</si>
  <si>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</si>
  <si>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</si>
  <si>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</si>
  <si>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</si>
  <si>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</si>
  <si>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</si>
  <si>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</si>
  <si>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</si>
  <si>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</si>
  <si>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</si>
  <si>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</si>
  <si>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</si>
  <si>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</si>
  <si>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</si>
  <si>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</si>
  <si>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</si>
  <si>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</si>
  <si>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</si>
  <si>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</si>
  <si>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</si>
  <si>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</si>
  <si>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</si>
  <si>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</si>
  <si>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</si>
  <si>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</si>
  <si>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</si>
  <si>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</si>
  <si>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</si>
  <si>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</si>
  <si>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</si>
  <si>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</si>
  <si>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</si>
  <si>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</si>
  <si>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</si>
  <si>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</si>
  <si>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</si>
  <si>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</si>
  <si>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</si>
  <si>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</si>
  <si>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</si>
  <si>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</si>
  <si>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</si>
  <si>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</si>
  <si>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</si>
  <si>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</si>
  <si>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</si>
  <si>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</si>
  <si>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</si>
  <si>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</si>
  <si>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</si>
  <si>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</si>
  <si>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</si>
  <si>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</si>
  <si>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</si>
  <si>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</si>
  <si>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</si>
  <si>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</si>
  <si>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</si>
  <si>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</si>
  <si>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</si>
  <si>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</si>
  <si>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</si>
  <si>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</si>
  <si>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</si>
  <si>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</si>
  <si>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</si>
  <si>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</si>
  <si>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</si>
  <si>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</si>
  <si>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</si>
  <si>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</si>
  <si>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</si>
  <si>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</si>
  <si>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</si>
  <si>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</si>
  <si>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</si>
  <si>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</si>
  <si>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</si>
  <si>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</si>
  <si>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</si>
  <si>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</si>
  <si>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</si>
  <si>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</si>
  <si>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</si>
  <si>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</si>
  <si>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</si>
  <si>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</si>
  <si>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</si>
  <si>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</si>
  <si>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</si>
  <si>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</si>
  <si>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</si>
  <si>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</si>
  <si>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</si>
  <si>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</si>
  <si>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</si>
  <si>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</si>
  <si>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</si>
  <si>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</si>
  <si>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</si>
  <si>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</si>
  <si>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</si>
  <si>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</si>
  <si>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</si>
  <si>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</si>
  <si>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</si>
  <si>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</si>
  <si>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</si>
  <si>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</si>
  <si>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</si>
  <si>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</si>
  <si>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</si>
  <si>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</si>
  <si>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</si>
  <si>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</si>
  <si>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</si>
  <si>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</si>
  <si>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</si>
  <si>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</si>
  <si>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</si>
  <si>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</si>
  <si>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</si>
  <si>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</si>
  <si>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</si>
  <si>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</si>
  <si>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</si>
  <si>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</si>
  <si>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</si>
  <si>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</si>
  <si>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</si>
  <si>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</si>
  <si>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</si>
  <si>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</si>
  <si>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</si>
  <si>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</si>
  <si>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</si>
  <si>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</si>
  <si>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</si>
  <si>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</si>
  <si>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</si>
  <si>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</si>
  <si>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</si>
  <si>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</si>
  <si>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</si>
  <si>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</si>
  <si>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</si>
  <si>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</si>
  <si>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</si>
  <si>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</si>
  <si>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</si>
  <si>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</si>
  <si>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</si>
  <si>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</si>
  <si>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</si>
  <si>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</si>
  <si>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</si>
  <si>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</si>
  <si>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</si>
  <si>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</si>
  <si>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</si>
  <si>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</si>
  <si>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</si>
  <si>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</si>
  <si>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</si>
  <si>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</si>
  <si>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</si>
  <si>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</si>
  <si>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</si>
  <si>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</si>
  <si>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</si>
  <si>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</si>
  <si>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</si>
  <si>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</si>
  <si>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</si>
  <si>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</si>
  <si>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</si>
  <si>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</si>
  <si>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</si>
  <si>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</si>
  <si>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</si>
  <si>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</si>
  <si>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</si>
  <si>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</si>
  <si>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</si>
  <si>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</si>
  <si>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</si>
  <si>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</si>
  <si>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</si>
  <si>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</si>
  <si>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</si>
  <si>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</si>
  <si>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</si>
  <si>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</si>
  <si>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</si>
  <si>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</si>
  <si>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</si>
  <si>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</si>
  <si>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</si>
  <si>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</si>
  <si>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</si>
  <si>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</si>
  <si>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</si>
  <si>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</si>
  <si>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</si>
  <si>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</si>
  <si>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</si>
  <si>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</si>
  <si>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</si>
  <si>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</si>
  <si>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</si>
  <si>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</si>
  <si>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</si>
  <si>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</si>
  <si>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</si>
  <si>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</si>
  <si>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</si>
  <si>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</si>
  <si>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</si>
  <si>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</si>
  <si>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</si>
  <si>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</si>
  <si>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</si>
  <si>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</si>
  <si>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</si>
  <si>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</si>
  <si>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</si>
  <si>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</si>
  <si>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</si>
  <si>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</si>
  <si>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</si>
  <si>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</si>
  <si>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</si>
  <si>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</si>
  <si>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</si>
  <si>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</si>
  <si>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</si>
  <si>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</si>
  <si>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</si>
  <si>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</si>
  <si>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</si>
  <si>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</si>
  <si>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</si>
  <si>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</si>
  <si>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</si>
  <si>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</si>
  <si>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</si>
  <si>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</si>
  <si>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</si>
  <si>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</si>
  <si>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</si>
  <si>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</si>
  <si>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</si>
  <si>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</si>
  <si>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</si>
  <si>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</si>
  <si>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</si>
  <si>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</si>
  <si>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</si>
  <si>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</si>
  <si>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</si>
  <si>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</si>
  <si>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</si>
  <si>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</si>
  <si>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</si>
  <si>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</si>
  <si>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</si>
  <si>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</si>
  <si>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</si>
  <si>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</si>
  <si>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</si>
  <si>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</si>
  <si>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</si>
  <si>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</si>
  <si>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</si>
  <si>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</si>
  <si>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</si>
  <si>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</si>
  <si>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</si>
  <si>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</si>
  <si>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</si>
  <si>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</si>
  <si>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</si>
  <si>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</si>
  <si>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</si>
  <si>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</si>
  <si>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</si>
  <si>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</si>
  <si>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</si>
  <si>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</si>
  <si>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</si>
  <si>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</si>
  <si>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</si>
  <si>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</si>
  <si>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</si>
  <si>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</si>
  <si>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</si>
  <si>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</si>
  <si>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</si>
  <si>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</si>
  <si>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</si>
  <si>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</si>
  <si>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</si>
  <si>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</si>
  <si>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</si>
  <si>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</si>
  <si>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</si>
  <si>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</si>
  <si>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</si>
  <si>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</si>
  <si>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</si>
  <si>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</si>
  <si>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</si>
  <si>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</si>
  <si>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</si>
  <si>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</si>
  <si>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</si>
  <si>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</si>
  <si>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</si>
  <si>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</si>
  <si>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</si>
  <si>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</si>
  <si>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</si>
  <si>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</si>
  <si>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</si>
  <si>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</si>
  <si>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</si>
  <si>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</si>
  <si>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</si>
  <si>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</si>
  <si>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</si>
  <si>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</si>
  <si>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</si>
  <si>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</si>
  <si>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</si>
  <si>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</si>
  <si>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</si>
  <si>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</si>
  <si>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</si>
  <si>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</si>
  <si>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</si>
  <si>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</si>
  <si>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</si>
  <si>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</si>
  <si>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</si>
  <si>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</si>
  <si>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</si>
  <si>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</si>
  <si>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</si>
  <si>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</si>
  <si>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</si>
  <si>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</si>
  <si>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</si>
  <si>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</si>
  <si>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</si>
  <si>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</si>
  <si>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</si>
  <si>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</si>
  <si>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</si>
  <si>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</si>
  <si>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</si>
  <si>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</si>
  <si>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</si>
  <si>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</si>
  <si>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</si>
  <si>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</si>
  <si>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</si>
  <si>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</si>
  <si>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</si>
  <si>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</si>
  <si>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</si>
  <si>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</si>
  <si>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</si>
  <si>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</si>
  <si>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</si>
  <si>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</si>
  <si>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</si>
  <si>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</si>
  <si>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</si>
  <si>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</si>
  <si>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</si>
  <si>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</si>
  <si>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</si>
  <si>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</si>
  <si>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</si>
  <si>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</si>
  <si>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</si>
  <si>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</si>
  <si>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</si>
  <si>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</si>
  <si>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</si>
  <si>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</si>
  <si>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</si>
  <si>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</si>
  <si>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</si>
  <si>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</si>
  <si>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</si>
  <si>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</si>
  <si>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</si>
  <si>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</si>
  <si>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</si>
  <si>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</si>
  <si>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</si>
  <si>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</si>
  <si>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</si>
  <si>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</si>
  <si>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</si>
  <si>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</si>
  <si>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</si>
  <si>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</si>
  <si>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</si>
  <si>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</si>
  <si>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</si>
  <si>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</si>
  <si>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</si>
  <si>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</si>
  <si>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</si>
  <si>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</si>
  <si>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</si>
  <si>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</si>
  <si>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</si>
  <si>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</si>
  <si>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</si>
  <si>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</si>
  <si>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</si>
  <si>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</si>
  <si>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</si>
  <si>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</si>
  <si>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</si>
  <si>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</si>
  <si>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</si>
  <si>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</si>
  <si>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</si>
  <si>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</si>
  <si>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</si>
  <si>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</si>
  <si>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</si>
  <si>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</si>
  <si>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</si>
  <si>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</si>
  <si>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</si>
  <si>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</si>
  <si>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</si>
  <si>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</si>
  <si>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</si>
  <si>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</si>
  <si>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</si>
  <si>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</si>
  <si>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</si>
  <si>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</si>
  <si>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</si>
  <si>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</si>
  <si>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</si>
  <si>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</si>
  <si>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</si>
  <si>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</si>
  <si>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</si>
  <si>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</si>
  <si>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</si>
  <si>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</si>
  <si>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</si>
  <si>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</si>
  <si>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</si>
  <si>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</si>
  <si>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</si>
  <si>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</si>
  <si>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</si>
  <si>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</si>
  <si>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</si>
  <si>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</si>
  <si>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</si>
  <si>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</si>
  <si>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</si>
  <si>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</si>
  <si>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</si>
  <si>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</si>
  <si>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</si>
  <si>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</si>
  <si>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</si>
  <si>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</si>
  <si>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</si>
  <si>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</si>
  <si>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</si>
  <si>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</si>
  <si>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</si>
  <si>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</si>
  <si>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</si>
  <si>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</si>
  <si>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</si>
  <si>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</si>
  <si>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</si>
  <si>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</si>
  <si>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</si>
  <si>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</si>
  <si>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</si>
  <si>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</si>
  <si>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</si>
  <si>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</si>
  <si>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</si>
  <si>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</si>
  <si>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</si>
  <si>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</si>
  <si>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</si>
  <si>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</si>
  <si>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</si>
  <si>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</si>
  <si>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</si>
  <si>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</si>
  <si>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</si>
  <si>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</si>
  <si>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</si>
  <si>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</si>
  <si>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</si>
  <si>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</si>
  <si>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</si>
  <si>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</si>
  <si>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</si>
  <si>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</si>
  <si>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</si>
  <si>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</si>
  <si>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</si>
  <si>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</si>
  <si>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</si>
  <si>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</si>
  <si>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</si>
  <si>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</si>
  <si>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</si>
  <si>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</si>
  <si>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</si>
  <si>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</si>
  <si>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</si>
  <si>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</si>
  <si>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</si>
  <si>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</si>
  <si>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</si>
  <si>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</si>
  <si>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</si>
  <si>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</si>
  <si>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</si>
  <si>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</si>
  <si>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</si>
  <si>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</si>
  <si>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</si>
  <si>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</si>
  <si>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</si>
  <si>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</si>
  <si>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</si>
  <si>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</si>
  <si>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</si>
  <si>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</si>
  <si>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</si>
  <si>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</si>
  <si>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</si>
  <si>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</si>
  <si>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</si>
  <si>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</si>
  <si>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</si>
  <si>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</si>
  <si>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</si>
  <si>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</si>
  <si>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</si>
  <si>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</si>
  <si>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</si>
  <si>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</si>
  <si>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</si>
  <si>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</si>
  <si>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</si>
  <si>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</si>
  <si>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</si>
  <si>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</si>
  <si>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</si>
  <si>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</si>
  <si>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</si>
  <si>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</si>
  <si>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</si>
  <si>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</si>
  <si>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</si>
  <si>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</si>
  <si>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</si>
  <si>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</si>
  <si>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</si>
  <si>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</si>
  <si>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</si>
  <si>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</si>
  <si>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</si>
  <si>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</si>
  <si>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</si>
  <si>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</si>
  <si>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</si>
  <si>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</si>
  <si>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</si>
  <si>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</si>
  <si>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</si>
  <si>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</si>
  <si>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</si>
  <si>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</si>
  <si>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</si>
  <si>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</si>
  <si>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</si>
  <si>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</si>
  <si>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</si>
  <si>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</si>
  <si>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</si>
  <si>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</si>
  <si>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</si>
  <si>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</si>
  <si>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</si>
  <si>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</si>
  <si>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</si>
  <si>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</si>
  <si>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</si>
  <si>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</si>
  <si>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</si>
  <si>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</si>
  <si>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</si>
  <si>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</si>
  <si>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</si>
  <si>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</si>
  <si>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</si>
  <si>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</si>
  <si>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</si>
  <si>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</si>
  <si>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</si>
  <si>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</si>
  <si>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</si>
  <si>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</si>
  <si>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</si>
  <si>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</si>
  <si>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</si>
  <si>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</si>
  <si>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</si>
  <si>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</si>
  <si>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</si>
  <si>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</si>
  <si>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</si>
  <si>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</si>
  <si>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</si>
  <si>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</si>
  <si>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</si>
  <si>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</si>
  <si>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</si>
  <si>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</si>
  <si>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</si>
  <si>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</si>
  <si>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</si>
  <si>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</si>
  <si>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</si>
  <si>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</si>
  <si>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</si>
  <si>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</si>
  <si>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</si>
  <si>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</si>
  <si>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</si>
  <si>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</si>
  <si>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</si>
  <si>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</si>
  <si>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</si>
  <si>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</si>
  <si>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</si>
  <si>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</si>
  <si>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</si>
  <si>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</si>
  <si>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</si>
  <si>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</si>
  <si>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</si>
  <si>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</si>
  <si>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</si>
  <si>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</si>
  <si>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</si>
  <si>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</si>
  <si>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</si>
  <si>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</si>
  <si>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</si>
  <si>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</si>
  <si>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</si>
  <si>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</si>
  <si>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</si>
  <si>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</si>
  <si>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</si>
  <si>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</si>
  <si>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</si>
  <si>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</si>
  <si>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</si>
  <si>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</si>
  <si>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</si>
  <si>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</si>
  <si>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</si>
  <si>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</si>
  <si>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</si>
  <si>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</si>
  <si>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</si>
  <si>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</si>
  <si>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</si>
  <si>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</si>
  <si>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</si>
  <si>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</si>
  <si>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</si>
  <si>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</si>
  <si>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</si>
  <si>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</si>
  <si>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</si>
  <si>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</si>
  <si>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</si>
  <si>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</si>
  <si>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</si>
  <si>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</si>
  <si>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</si>
  <si>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</si>
  <si>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</si>
  <si>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</si>
  <si>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</si>
  <si>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</si>
  <si>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</si>
  <si>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</si>
  <si>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</si>
  <si>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</si>
  <si>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</si>
  <si>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</si>
  <si>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</si>
  <si>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</si>
  <si>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</si>
  <si>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</si>
  <si>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</si>
  <si>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</si>
  <si>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</si>
  <si>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</si>
  <si>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</si>
  <si>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</si>
  <si>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</si>
  <si>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</si>
  <si>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</si>
  <si>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</si>
  <si>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</si>
  <si>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</si>
  <si>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</si>
  <si>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</si>
  <si>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</si>
  <si>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</si>
  <si>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</si>
  <si>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</si>
  <si>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</si>
  <si>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</si>
  <si>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</si>
  <si>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</si>
  <si>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</si>
  <si>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</si>
  <si>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</si>
  <si>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</si>
  <si>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</si>
  <si>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</si>
  <si>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</si>
  <si>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</si>
  <si>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</si>
  <si>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</si>
  <si>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</si>
  <si>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</si>
  <si>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</si>
  <si>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</si>
  <si>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</si>
  <si>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</si>
  <si>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</si>
  <si>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</si>
  <si>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</si>
  <si>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</si>
  <si>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</si>
  <si>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</si>
  <si>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</si>
  <si>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</si>
  <si>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</si>
  <si>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</si>
  <si>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</si>
  <si>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</si>
  <si>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</si>
  <si>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</si>
  <si>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</si>
  <si>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</si>
  <si>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</si>
  <si>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</si>
  <si>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</si>
  <si>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</si>
  <si>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</si>
  <si>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</si>
  <si>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</si>
  <si>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</si>
  <si>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</si>
  <si>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</si>
  <si>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</si>
  <si>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</si>
  <si>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</si>
  <si>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</si>
  <si>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</si>
  <si>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</si>
  <si>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</si>
  <si>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</si>
  <si>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</si>
  <si>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</si>
  <si>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</si>
  <si>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</si>
  <si>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</si>
  <si>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</si>
  <si>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</si>
  <si>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</si>
  <si>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</si>
  <si>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</si>
  <si>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</si>
  <si>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</si>
  <si>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</si>
  <si>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</si>
  <si>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</si>
  <si>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</si>
  <si>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</si>
  <si>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</si>
  <si>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</si>
  <si>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</si>
  <si>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</si>
  <si>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</si>
  <si>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</si>
  <si>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</si>
  <si>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</si>
  <si>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</si>
  <si>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</si>
  <si>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</si>
  <si>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</si>
  <si>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</si>
  <si>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</si>
  <si>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</si>
  <si>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</si>
  <si>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</si>
  <si>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</si>
  <si>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</si>
  <si>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</si>
  <si>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</si>
  <si>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</si>
  <si>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</si>
  <si>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</si>
  <si>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</si>
  <si>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</si>
  <si>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</si>
  <si>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</si>
  <si>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</si>
  <si>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</si>
  <si>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</si>
  <si>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</si>
  <si>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</si>
  <si>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</si>
  <si>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</si>
  <si>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</si>
  <si>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</si>
  <si>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</si>
  <si>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</si>
  <si>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</si>
  <si>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</si>
  <si>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</si>
  <si>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</si>
  <si>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</si>
  <si>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</si>
  <si>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</si>
  <si>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</si>
  <si>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</si>
  <si>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</si>
  <si>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</si>
  <si>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</si>
  <si>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</si>
  <si>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</si>
  <si>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</si>
  <si>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</si>
  <si>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</si>
  <si>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</si>
  <si>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</si>
  <si>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</si>
  <si>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</si>
  <si>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</si>
  <si>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</si>
  <si>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</si>
  <si>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</si>
  <si>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</si>
  <si>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</si>
  <si>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</si>
  <si>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</si>
  <si>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</si>
  <si>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</si>
  <si>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</si>
  <si>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</si>
  <si>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</si>
  <si>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</si>
  <si>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</si>
  <si>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</si>
  <si>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</si>
  <si>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</si>
  <si>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</si>
  <si>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</si>
  <si>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</si>
  <si>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</si>
  <si>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</si>
  <si>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</si>
  <si>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</si>
  <si>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</si>
  <si>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</si>
  <si>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</si>
  <si>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</si>
  <si>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</si>
  <si>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</si>
  <si>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</si>
  <si>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</si>
  <si>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</si>
  <si>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</si>
  <si>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</si>
  <si>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</si>
  <si>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</si>
  <si>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</si>
  <si>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</si>
  <si>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</si>
  <si>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</si>
  <si>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</si>
  <si>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</si>
  <si>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</si>
  <si>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</si>
  <si>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</si>
  <si>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</si>
  <si>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</si>
  <si>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</si>
  <si>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</si>
  <si>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</si>
  <si>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</si>
  <si>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</si>
  <si>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</si>
  <si>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</si>
  <si>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</si>
  <si>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</si>
  <si>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</si>
  <si>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</si>
  <si>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</si>
  <si>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</si>
  <si>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</si>
  <si>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</si>
  <si>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</si>
  <si>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</si>
  <si>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</si>
  <si>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</si>
  <si>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</si>
  <si>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</si>
  <si>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</si>
  <si>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</si>
  <si>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</si>
  <si>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</si>
  <si>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</si>
  <si>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</si>
  <si>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</si>
  <si>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</si>
  <si>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</si>
  <si>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</si>
  <si>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</si>
  <si>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</si>
  <si>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</si>
  <si>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</si>
  <si>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</si>
  <si>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</si>
  <si>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</si>
  <si>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</si>
  <si>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</si>
  <si>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</si>
  <si>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</si>
  <si>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</si>
  <si>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</si>
  <si>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</si>
  <si>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</si>
  <si>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</si>
  <si>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</si>
  <si>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</si>
  <si>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</si>
  <si>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</si>
  <si>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</si>
  <si>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</si>
  <si>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</si>
  <si>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</si>
  <si>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</si>
  <si>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</si>
  <si>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</si>
  <si>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</si>
  <si>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</si>
  <si>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</si>
  <si>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</si>
  <si>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</si>
  <si>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</si>
  <si>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</si>
  <si>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</si>
  <si>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</si>
  <si>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</si>
  <si>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</si>
  <si>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</si>
  <si>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</si>
  <si>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</si>
  <si>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</si>
  <si>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</si>
  <si>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</si>
  <si>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</si>
  <si>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</si>
  <si>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</si>
  <si>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</si>
  <si>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</si>
  <si>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</si>
  <si>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</si>
  <si>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</si>
  <si>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</si>
  <si>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</si>
  <si>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</si>
  <si>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</si>
  <si>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</si>
  <si>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</si>
  <si>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</si>
  <si>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</si>
  <si>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</si>
  <si>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</si>
  <si>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</si>
  <si>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</si>
  <si>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</si>
  <si>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</si>
  <si>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</si>
  <si>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</si>
  <si>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</si>
  <si>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</si>
  <si>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</si>
  <si>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</si>
  <si>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</si>
  <si>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</si>
  <si>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</si>
  <si>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</si>
  <si>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</si>
  <si>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</si>
  <si>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</si>
  <si>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</si>
  <si>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</si>
  <si>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</si>
  <si>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</si>
  <si>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</si>
  <si>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</si>
  <si>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</si>
  <si>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</si>
  <si>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</si>
  <si>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</si>
  <si>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</si>
  <si>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</si>
  <si>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</si>
  <si>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</si>
  <si>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</si>
  <si>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</si>
  <si>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</si>
  <si>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</si>
  <si>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</si>
  <si>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</si>
  <si>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</si>
  <si>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</si>
  <si>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</si>
  <si>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</si>
  <si>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</si>
  <si>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</si>
  <si>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</si>
  <si>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</si>
  <si>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</si>
  <si>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</si>
  <si>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</si>
  <si>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</si>
  <si>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</si>
  <si>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</si>
  <si>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</si>
  <si>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</si>
  <si>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</si>
  <si>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</si>
  <si>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</si>
  <si>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</si>
  <si>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</si>
  <si>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</si>
  <si>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</si>
  <si>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</si>
  <si>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</si>
  <si>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</si>
  <si>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</si>
  <si>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</si>
  <si>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</si>
  <si>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</si>
  <si>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</si>
  <si>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</si>
  <si>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</si>
  <si>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</si>
  <si>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</si>
  <si>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</si>
  <si>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</si>
  <si>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</si>
  <si>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</si>
  <si>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</si>
  <si>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</si>
  <si>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</si>
  <si>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</si>
  <si>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</si>
  <si>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</si>
  <si>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</si>
  <si>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</si>
  <si>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</si>
  <si>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</si>
  <si>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</si>
  <si>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</si>
  <si>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</si>
  <si>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</si>
  <si>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</si>
  <si>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</si>
  <si>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</si>
  <si>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</si>
  <si>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</si>
  <si>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</si>
  <si>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</si>
  <si>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</si>
  <si>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</si>
  <si>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</si>
  <si>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</si>
  <si>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</si>
  <si>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</si>
  <si>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</si>
  <si>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</si>
  <si>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</si>
  <si>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</si>
  <si>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</si>
  <si>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</si>
  <si>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</si>
  <si>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</si>
  <si>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</si>
  <si>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</si>
  <si>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</si>
  <si>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</si>
  <si>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</si>
  <si>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</si>
  <si>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</si>
  <si>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</si>
  <si>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</si>
  <si>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</si>
  <si>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</si>
  <si>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</si>
  <si>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</si>
  <si>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</si>
  <si>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</si>
  <si>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</si>
  <si>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</si>
  <si>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</si>
  <si>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</si>
  <si>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</si>
  <si>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</si>
  <si>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</si>
  <si>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</si>
  <si>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</si>
  <si>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</si>
  <si>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</si>
  <si>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</si>
  <si>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</si>
  <si>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</si>
  <si>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</si>
  <si>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</si>
  <si>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</si>
  <si>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</si>
  <si>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</si>
  <si>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</si>
  <si>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</si>
  <si>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</si>
  <si>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INTER-LAKES SCHOOL DISTRICT</t>
  </si>
  <si>
    <t>Playground Trust omitted from FY2020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</si>
</sst>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269</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2803279</v>
      </c>
      <c r="G9" s="18"/>
      <c r="H9" s="18"/>
      <c r="I9" s="18">
        <v>3231</v>
      </c>
      <c r="J9" s="67">
        <f>SUM(I440)</f>
        <v>1092759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286148</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2011306</v>
      </c>
      <c r="G12" s="18">
        <v>392416</v>
      </c>
      <c r="H12" s="18">
        <v>961622</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22582</v>
      </c>
      <c r="G13" s="18">
        <v>39235</v>
      </c>
      <c r="H13" s="18">
        <v>76739</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7552</v>
      </c>
      <c r="G14" s="18">
        <v>9699</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21373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5152240</v>
      </c>
      <c r="G19" s="41">
        <f>SUM(G9:G18)</f>
        <v>441350</v>
      </c>
      <c r="H19" s="41">
        <f>SUM(H9:H18)</f>
        <v>1038361</v>
      </c>
      <c r="I19" s="41">
        <f>SUM(I9:I18)</f>
        <v>3231</v>
      </c>
      <c r="J19" s="41">
        <f>SUM(J9:J18)</f>
        <v>1092759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2018652</v>
      </c>
      <c r="G22" s="18">
        <v>386352</v>
      </c>
      <c r="H22" s="18">
        <v>923005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1015</v>
      </c>
      <c r="G23" s="18"/>
      <c r="H23" s="18">
        <v>3633</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764239</v>
      </c>
      <c r="G24" s="18">
        <v>505</v>
      </c>
      <c r="H24" s="18">
        <v>1790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40111</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23866</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3000</v>
      </c>
      <c r="G30" s="18">
        <v>14040</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2850883</v>
      </c>
      <c r="G32" s="41">
        <f>SUM(G22:G31)</f>
        <v>400897</v>
      </c>
      <c r="H32" s="41">
        <f>SUM(H22:H31)</f>
        <v>928428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175000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506793</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40453</v>
      </c>
      <c r="H48" s="18">
        <v>109933</v>
      </c>
      <c r="I48" s="18">
        <v>3231</v>
      </c>
      <c r="J48" s="13">
        <f>SUM(I460)</f>
        <v>1092759</v>
      </c>
      <c r="K48" s="24" t="s">
        <v>288</v>
      </c>
      <c r="L48" s="24" t="s">
        <v>288</v>
      </c>
      <c r="M48" s="8"/>
      <c r="N48" s="264"/>
    </row>
    <row r="49" spans="1:14" s="3" customFormat="1" ht="12.2" customHeight="1" x14ac:dyDescent="0.15">
      <c r="A49" s="1" t="s">
        <v>859</v>
      </c>
      <c r="B49" s="2" t="s">
        <v>289</v>
      </c>
      <c r="C49" s="6">
        <v>34</v>
      </c>
      <c r="D49" s="2"/>
      <c r="E49" s="6">
        <v>753</v>
      </c>
      <c r="F49" s="18">
        <v>1079203</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540361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2301357</v>
      </c>
      <c r="G51" s="41">
        <f>SUM(G35:G50)</f>
        <v>40453</v>
      </c>
      <c r="H51" s="41">
        <f>SUM(H35:H50)</f>
        <v>109933</v>
      </c>
      <c r="I51" s="41">
        <f>SUM(I35:I50)</f>
        <v>3231</v>
      </c>
      <c r="J51" s="41">
        <f>SUM(J35:J50)</f>
        <v>1092759</v>
      </c>
      <c r="K51" s="45" t="s">
        <v>288</v>
      </c>
      <c r="L51" s="45" t="s">
        <v>288</v>
      </c>
      <c r="N51" s="262"/>
    </row>
    <row r="52" spans="1:14" s="3" customFormat="1" ht="12.2" customHeight="1" thickTop="1" x14ac:dyDescent="0.15">
      <c r="A52" s="38" t="s">
        <v>455</v>
      </c>
      <c r="B52" s="39" t="s">
        <v>289</v>
      </c>
      <c r="C52" s="6">
        <v>37</v>
      </c>
      <c r="D52" s="39" t="s">
        <v>653</v>
      </c>
      <c r="E52" s="39"/>
      <c r="F52" s="41">
        <f>F51+F32</f>
        <v>5152240</v>
      </c>
      <c r="G52" s="41">
        <f>G51+G32</f>
        <v>441350</v>
      </c>
      <c r="H52" s="41">
        <f>H51+H32</f>
        <v>1038361</v>
      </c>
      <c r="I52" s="41">
        <f>I51+I32</f>
        <v>3231</v>
      </c>
      <c r="J52" s="41">
        <f>J51+J32</f>
        <v>1092759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20975939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20975939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46561</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46561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1154</v>
      </c>
      <c r="G96" s="18"/>
      <c r="H96" s="18"/>
      <c r="I96" s="18"/>
      <c r="J96" s="18">
        <v>5953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20046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93</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19060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28188</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1316</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1910</v>
      </c>
      <c r="G110" s="18"/>
      <c r="H110" s="18">
        <v>20463</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23533</v>
      </c>
      <c r="G111" s="41">
        <f>SUM(G96:G110)</f>
        <v>20046</v>
      </c>
      <c r="H111" s="41">
        <f>SUM(H96:H110)</f>
        <v>48651</v>
      </c>
      <c r="I111" s="41">
        <f>SUM(I96:I110)</f>
        <v>0</v>
      </c>
      <c r="J111" s="41">
        <f>SUM(J96:J110)</f>
        <v>5953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21046033</v>
      </c>
      <c r="G112" s="41">
        <f>G60+G111</f>
        <v>20046</v>
      </c>
      <c r="H112" s="41">
        <f>H60+H79+H94+H111</f>
        <v>48651</v>
      </c>
      <c r="I112" s="41">
        <f>I60+I111</f>
        <v>0</v>
      </c>
      <c r="J112" s="41">
        <f>J60+J111</f>
        <v>5953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6053003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6053003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106779</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42084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8858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23354</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7448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28897</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157721</v>
      </c>
      <c r="G136" s="41">
        <f>SUM(G123:G135)</f>
        <v>7448</v>
      </c>
      <c r="H136" s="41">
        <f>SUM(H123:H135)</f>
        <v>52251</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6210724</v>
      </c>
      <c r="G140" s="41">
        <f>G121+SUM(G136:G137)</f>
        <v>7448</v>
      </c>
      <c r="H140" s="41">
        <f>H121+SUM(H136:H139)</f>
        <v>52251</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228888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188574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338493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5584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129384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54618</v>
      </c>
      <c r="G161" s="18"/>
      <c r="H161" s="18">
        <v>256135</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136686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184002</v>
      </c>
      <c r="G163" s="41">
        <f>SUM(G150:G162)</f>
        <v>338493</v>
      </c>
      <c r="H163" s="41">
        <f>SUM(H150:H162)</f>
        <v>815867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7259</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191261</v>
      </c>
      <c r="G170" s="41">
        <f>G147+G163+SUM(G164:G169)</f>
        <v>338493</v>
      </c>
      <c r="H170" s="41">
        <f>H147+H163+SUM(H164:H169)</f>
        <v>815867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195000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195000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195000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27448018</v>
      </c>
      <c r="G194" s="47">
        <f>G112+G140+G170+G193</f>
        <v>365987</v>
      </c>
      <c r="H194" s="47">
        <f>H112+H140+H170+H193</f>
        <v>916769</v>
      </c>
      <c r="I194" s="47">
        <f>I112+I140+I170+I193</f>
        <v>0</v>
      </c>
      <c r="J194" s="47">
        <f>J112+J140+J193</f>
        <v>200953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4441920</v>
      </c>
      <c r="G198" s="18">
        <v>1966466</v>
      </c>
      <c r="H198" s="18">
        <v>29016</v>
      </c>
      <c r="I198" s="18">
        <v>69930</v>
      </c>
      <c r="J198" s="18">
        <v>11465</v>
      </c>
      <c r="K198" s="18">
        <v>60</v>
      </c>
      <c r="L198" s="19">
        <f>SUM(F198:K198)</f>
        <v>6518857</v>
      </c>
      <c r="M198" s="8"/>
      <c r="N198" s="264"/>
    </row>
    <row r="199" spans="1:14" s="3" customFormat="1" ht="12.2" customHeight="1" x14ac:dyDescent="0.15">
      <c r="A199" s="1" t="s">
        <v>439</v>
      </c>
      <c r="B199" s="2" t="s">
        <v>341</v>
      </c>
      <c r="C199" s="2" t="s">
        <v>291</v>
      </c>
      <c r="D199" s="2" t="s">
        <v>431</v>
      </c>
      <c r="E199" s="6">
        <v>1200</v>
      </c>
      <c r="F199" s="18">
        <v>1986990</v>
      </c>
      <c r="G199" s="18">
        <v>786898</v>
      </c>
      <c r="H199" s="18">
        <v>38520</v>
      </c>
      <c r="I199" s="18">
        <v>2301</v>
      </c>
      <c r="J199" s="18">
        <v>1703</v>
      </c>
      <c r="K199" s="18"/>
      <c r="L199" s="19">
        <f>SUM(F199:K199)</f>
        <v>2816412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105702</v>
      </c>
      <c r="G201" s="18">
        <v>20554</v>
      </c>
      <c r="H201" s="18">
        <v>200</v>
      </c>
      <c r="I201" s="18">
        <v>1002</v>
      </c>
      <c r="J201" s="18"/>
      <c r="K201" s="18"/>
      <c r="L201" s="19">
        <f>SUM(F201:K201)</f>
        <v>127458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844976</v>
      </c>
      <c r="G203" s="18">
        <v>395604</v>
      </c>
      <c r="H203" s="18">
        <v>82690</v>
      </c>
      <c r="I203" s="18">
        <v>14119</v>
      </c>
      <c r="J203" s="18">
        <v>1506</v>
      </c>
      <c r="K203" s="18">
        <v>272</v>
      </c>
      <c r="L203" s="19">
        <f t="shared" ref="L203:L209" si="0">SUM(F203:K203)</f>
        <v>1339167</v>
      </c>
      <c r="M203" s="8"/>
      <c r="N203" s="264"/>
    </row>
    <row r="204" spans="1:14" s="3" customFormat="1" ht="12.2" customHeight="1" x14ac:dyDescent="0.15">
      <c r="A204" s="1" t="s">
        <v>443</v>
      </c>
      <c r="B204" s="2" t="s">
        <v>341</v>
      </c>
      <c r="C204" s="2" t="s">
        <v>295</v>
      </c>
      <c r="D204" s="2" t="s">
        <v>431</v>
      </c>
      <c r="E204" s="6">
        <v>2200</v>
      </c>
      <c r="F204" s="18">
        <v>354040</v>
      </c>
      <c r="G204" s="18">
        <v>244031</v>
      </c>
      <c r="H204" s="18">
        <v>131491</v>
      </c>
      <c r="I204" s="18">
        <v>207611</v>
      </c>
      <c r="J204" s="18">
        <v>250391</v>
      </c>
      <c r="K204" s="18">
        <v>344</v>
      </c>
      <c r="L204" s="19">
        <f t="shared" si="0"/>
        <v>1187908</v>
      </c>
      <c r="M204" s="8"/>
      <c r="N204" s="264"/>
    </row>
    <row r="205" spans="1:14" s="3" customFormat="1" ht="12.2" customHeight="1" x14ac:dyDescent="0.15">
      <c r="A205" s="1" t="s">
        <v>444</v>
      </c>
      <c r="B205" s="2" t="s">
        <v>341</v>
      </c>
      <c r="C205" s="2" t="s">
        <v>296</v>
      </c>
      <c r="D205" s="2" t="s">
        <v>431</v>
      </c>
      <c r="E205" s="6">
        <v>2300</v>
      </c>
      <c r="F205" s="18">
        <v>8708</v>
      </c>
      <c r="G205" s="18">
        <v>689</v>
      </c>
      <c r="H205" s="18">
        <v>706277</v>
      </c>
      <c r="I205" s="18">
        <v>11835</v>
      </c>
      <c r="J205" s="18"/>
      <c r="K205" s="18">
        <v>5541</v>
      </c>
      <c r="L205" s="19">
        <f t="shared" si="0"/>
        <v>733050</v>
      </c>
      <c r="M205" s="8"/>
      <c r="N205" s="264"/>
    </row>
    <row r="206" spans="1:14" s="3" customFormat="1" ht="12.2" customHeight="1" x14ac:dyDescent="0.15">
      <c r="A206" s="1" t="s">
        <v>445</v>
      </c>
      <c r="B206" s="2" t="s">
        <v>341</v>
      </c>
      <c r="C206" s="2" t="s">
        <v>297</v>
      </c>
      <c r="D206" s="2" t="s">
        <v>431</v>
      </c>
      <c r="E206" s="6">
        <v>2400</v>
      </c>
      <c r="F206" s="18">
        <v>505911</v>
      </c>
      <c r="G206" s="18">
        <v>232949</v>
      </c>
      <c r="H206" s="18">
        <v>40747</v>
      </c>
      <c r="I206" s="18">
        <v>2340</v>
      </c>
      <c r="J206" s="18">
        <v>651</v>
      </c>
      <c r="K206" s="18"/>
      <c r="L206" s="19">
        <f t="shared" si="0"/>
        <v>782598</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419059</v>
      </c>
      <c r="G208" s="18">
        <v>230266</v>
      </c>
      <c r="H208" s="18">
        <v>674627</v>
      </c>
      <c r="I208" s="18">
        <v>301600</v>
      </c>
      <c r="J208" s="18">
        <v>517382</v>
      </c>
      <c r="K208" s="18">
        <v>74</v>
      </c>
      <c r="L208" s="19">
        <f t="shared" si="0"/>
        <v>2143008</v>
      </c>
      <c r="M208" s="8"/>
      <c r="N208" s="264"/>
    </row>
    <row r="209" spans="1:14" s="3" customFormat="1" ht="12.2" customHeight="1" x14ac:dyDescent="0.15">
      <c r="A209" s="1" t="s">
        <v>448</v>
      </c>
      <c r="B209" s="2" t="s">
        <v>341</v>
      </c>
      <c r="C209" s="2" t="s">
        <v>300</v>
      </c>
      <c r="D209" s="2" t="s">
        <v>431</v>
      </c>
      <c r="E209" s="6">
        <v>2700</v>
      </c>
      <c r="F209" s="18"/>
      <c r="G209" s="18"/>
      <c r="H209" s="18">
        <v>857573</v>
      </c>
      <c r="I209" s="18"/>
      <c r="J209" s="18"/>
      <c r="K209" s="18"/>
      <c r="L209" s="19">
        <f t="shared" si="0"/>
        <v>857573</v>
      </c>
      <c r="M209" s="8"/>
      <c r="N209" s="264"/>
    </row>
    <row r="210" spans="1:14" s="3" customFormat="1" ht="12.2" customHeight="1" x14ac:dyDescent="0.15">
      <c r="A210" s="1" t="s">
        <v>449</v>
      </c>
      <c r="B210" s="2" t="s">
        <v>341</v>
      </c>
      <c r="C210" s="2" t="s">
        <v>343</v>
      </c>
      <c r="D210" s="2" t="s">
        <v>431</v>
      </c>
      <c r="E210" s="6">
        <v>2800</v>
      </c>
      <c r="F210" s="18">
        <v>47959</v>
      </c>
      <c r="G210" s="18">
        <v>768212</v>
      </c>
      <c r="H210" s="18"/>
      <c r="I210" s="18"/>
      <c r="J210" s="18"/>
      <c r="K210" s="18"/>
      <c r="L210" s="19">
        <f>SUM(F210:K210)</f>
        <v>816171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8715265</v>
      </c>
      <c r="G212" s="41">
        <f t="shared" si="1"/>
        <v>4645669</v>
      </c>
      <c r="H212" s="41">
        <f t="shared" si="1"/>
        <v>2561141</v>
      </c>
      <c r="I212" s="41">
        <f t="shared" si="1"/>
        <v>610738</v>
      </c>
      <c r="J212" s="41">
        <f t="shared" si="1"/>
        <v>783098</v>
      </c>
      <c r="K212" s="41">
        <f t="shared" si="1"/>
        <v>6291</v>
      </c>
      <c r="L212" s="41">
        <f t="shared" si="1"/>
        <v>17322202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1934822</v>
      </c>
      <c r="G234" s="18">
        <v>819734</v>
      </c>
      <c r="H234" s="18">
        <v>4831</v>
      </c>
      <c r="I234" s="18">
        <v>40311</v>
      </c>
      <c r="J234" s="18">
        <v>17091</v>
      </c>
      <c r="K234" s="18"/>
      <c r="L234" s="19">
        <f>SUM(F234:K234)</f>
        <v>2816789</v>
      </c>
      <c r="M234" s="8"/>
      <c r="N234" s="264"/>
    </row>
    <row r="235" spans="1:14" s="3" customFormat="1" ht="12.2" customHeight="1" x14ac:dyDescent="0.15">
      <c r="A235" s="1" t="s">
        <v>439</v>
      </c>
      <c r="B235" s="2" t="s">
        <v>350</v>
      </c>
      <c r="C235" s="2" t="s">
        <v>291</v>
      </c>
      <c r="D235" s="2" t="s">
        <v>431</v>
      </c>
      <c r="E235" s="6">
        <v>1200</v>
      </c>
      <c r="F235" s="18">
        <v>702495</v>
      </c>
      <c r="G235" s="18">
        <v>275831</v>
      </c>
      <c r="H235" s="18">
        <v>126634</v>
      </c>
      <c r="I235" s="18">
        <v>2141</v>
      </c>
      <c r="J235" s="18">
        <v>784</v>
      </c>
      <c r="K235" s="18"/>
      <c r="L235" s="19">
        <f>SUM(F235:K235)</f>
        <v>1107885</v>
      </c>
      <c r="M235" s="8"/>
      <c r="N235" s="264"/>
    </row>
    <row r="236" spans="1:14" s="3" customFormat="1" ht="12.2" customHeight="1" x14ac:dyDescent="0.15">
      <c r="A236" s="1" t="s">
        <v>440</v>
      </c>
      <c r="B236" s="2" t="s">
        <v>350</v>
      </c>
      <c r="C236" s="2" t="s">
        <v>292</v>
      </c>
      <c r="D236" s="2" t="s">
        <v>431</v>
      </c>
      <c r="E236" s="6">
        <v>1300</v>
      </c>
      <c r="F236" s="18"/>
      <c r="G236" s="18"/>
      <c r="H236" s="18">
        <v>114387</v>
      </c>
      <c r="I236" s="18"/>
      <c r="J236" s="18"/>
      <c r="K236" s="18"/>
      <c r="L236" s="19">
        <f>SUM(F236:K236)</f>
        <v>114387</v>
      </c>
      <c r="M236" s="8"/>
      <c r="N236" s="264"/>
    </row>
    <row r="237" spans="1:14" s="3" customFormat="1" ht="12.2" customHeight="1" x14ac:dyDescent="0.15">
      <c r="A237" s="1" t="s">
        <v>441</v>
      </c>
      <c r="B237" s="2" t="s">
        <v>350</v>
      </c>
      <c r="C237" s="2" t="s">
        <v>293</v>
      </c>
      <c r="D237" s="2" t="s">
        <v>431</v>
      </c>
      <c r="E237" s="6">
        <v>1400</v>
      </c>
      <c r="F237" s="18">
        <v>213323</v>
      </c>
      <c r="G237" s="18">
        <v>48760</v>
      </c>
      <c r="H237" s="18">
        <v>100743</v>
      </c>
      <c r="I237" s="18">
        <v>19409</v>
      </c>
      <c r="J237" s="18">
        <v>12576</v>
      </c>
      <c r="K237" s="18">
        <v>7573</v>
      </c>
      <c r="L237" s="19">
        <f>SUM(F237:K237)</f>
        <v>402384</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390673</v>
      </c>
      <c r="G239" s="18">
        <v>179801</v>
      </c>
      <c r="H239" s="18">
        <v>53000</v>
      </c>
      <c r="I239" s="18">
        <v>7118</v>
      </c>
      <c r="J239" s="18"/>
      <c r="K239" s="18">
        <v>207</v>
      </c>
      <c r="L239" s="19">
        <f t="shared" ref="L239:L245" si="4">SUM(F239:K239)</f>
        <v>630799</v>
      </c>
      <c r="M239" s="8"/>
      <c r="N239" s="264"/>
    </row>
    <row r="240" spans="1:14" s="3" customFormat="1" ht="12.2" customHeight="1" x14ac:dyDescent="0.15">
      <c r="A240" s="1" t="s">
        <v>443</v>
      </c>
      <c r="B240" s="2" t="s">
        <v>350</v>
      </c>
      <c r="C240" s="2" t="s">
        <v>295</v>
      </c>
      <c r="D240" s="2" t="s">
        <v>431</v>
      </c>
      <c r="E240" s="6">
        <v>2200</v>
      </c>
      <c r="F240" s="18">
        <v>215555</v>
      </c>
      <c r="G240" s="18">
        <v>137940</v>
      </c>
      <c r="H240" s="18">
        <v>60564</v>
      </c>
      <c r="I240" s="18">
        <v>97492</v>
      </c>
      <c r="J240" s="18">
        <v>115329</v>
      </c>
      <c r="K240" s="18">
        <v>306</v>
      </c>
      <c r="L240" s="19">
        <f t="shared" si="4"/>
        <v>627186</v>
      </c>
      <c r="M240" s="8"/>
      <c r="N240" s="264"/>
    </row>
    <row r="241" spans="1:14" s="3" customFormat="1" ht="12.2" customHeight="1" x14ac:dyDescent="0.15">
      <c r="A241" s="1" t="s">
        <v>444</v>
      </c>
      <c r="B241" s="2" t="s">
        <v>350</v>
      </c>
      <c r="C241" s="2" t="s">
        <v>296</v>
      </c>
      <c r="D241" s="2" t="s">
        <v>431</v>
      </c>
      <c r="E241" s="6">
        <v>2300</v>
      </c>
      <c r="F241" s="18">
        <v>4010</v>
      </c>
      <c r="G241" s="18">
        <v>317</v>
      </c>
      <c r="H241" s="18">
        <v>325308</v>
      </c>
      <c r="I241" s="18">
        <v>5451</v>
      </c>
      <c r="J241" s="18"/>
      <c r="K241" s="18">
        <v>2552</v>
      </c>
      <c r="L241" s="19">
        <f t="shared" si="4"/>
        <v>337638</v>
      </c>
      <c r="M241" s="8"/>
      <c r="N241" s="264"/>
    </row>
    <row r="242" spans="1:14" s="3" customFormat="1" ht="12.2" customHeight="1" x14ac:dyDescent="0.15">
      <c r="A242" s="1" t="s">
        <v>445</v>
      </c>
      <c r="B242" s="2" t="s">
        <v>350</v>
      </c>
      <c r="C242" s="2" t="s">
        <v>297</v>
      </c>
      <c r="D242" s="2" t="s">
        <v>431</v>
      </c>
      <c r="E242" s="6">
        <v>2400</v>
      </c>
      <c r="F242" s="18">
        <v>273883</v>
      </c>
      <c r="G242" s="18">
        <v>128152</v>
      </c>
      <c r="H242" s="18">
        <v>35760</v>
      </c>
      <c r="I242" s="18">
        <v>7232</v>
      </c>
      <c r="J242" s="18"/>
      <c r="K242" s="18">
        <v>10428</v>
      </c>
      <c r="L242" s="19">
        <f t="shared" si="4"/>
        <v>455455</v>
      </c>
      <c r="M242" s="8"/>
      <c r="N242" s="264"/>
    </row>
    <row r="243" spans="1:14" s="3" customFormat="1" ht="12.2" customHeight="1" x14ac:dyDescent="0.15">
      <c r="A243" s="1" t="s">
        <v>446</v>
      </c>
      <c r="B243" s="2" t="s">
        <v>350</v>
      </c>
      <c r="C243" s="2" t="s">
        <v>298</v>
      </c>
      <c r="D243" s="2" t="s">
        <v>431</v>
      </c>
      <c r="E243" s="6">
        <v>2500</v>
      </c>
      <c r="F243" s="18"/>
      <c r="G243" s="18"/>
      <c r="H243" s="18"/>
      <c r="I243" s="18">
        <v>304</v>
      </c>
      <c r="J243" s="18">
        <v>10927</v>
      </c>
      <c r="K243" s="18"/>
      <c r="L243" s="19">
        <f t="shared" si="4"/>
        <v>11231</v>
      </c>
      <c r="M243" s="8"/>
      <c r="N243" s="264"/>
    </row>
    <row r="244" spans="1:14" s="3" customFormat="1" ht="12.2" customHeight="1" x14ac:dyDescent="0.15">
      <c r="A244" s="1" t="s">
        <v>447</v>
      </c>
      <c r="B244" s="2" t="s">
        <v>350</v>
      </c>
      <c r="C244" s="2" t="s">
        <v>299</v>
      </c>
      <c r="D244" s="2" t="s">
        <v>431</v>
      </c>
      <c r="E244" s="6">
        <v>2600</v>
      </c>
      <c r="F244" s="18">
        <v>268682</v>
      </c>
      <c r="G244" s="18">
        <v>186920</v>
      </c>
      <c r="H244" s="18">
        <v>354497</v>
      </c>
      <c r="I244" s="18">
        <v>175247</v>
      </c>
      <c r="J244" s="18">
        <v>231198</v>
      </c>
      <c r="K244" s="18">
        <v>34</v>
      </c>
      <c r="L244" s="19">
        <f t="shared" si="4"/>
        <v>1216578</v>
      </c>
      <c r="M244" s="8"/>
      <c r="N244" s="264"/>
    </row>
    <row r="245" spans="1:14" s="3" customFormat="1" ht="12.2" customHeight="1" x14ac:dyDescent="0.15">
      <c r="A245" s="1" t="s">
        <v>448</v>
      </c>
      <c r="B245" s="2" t="s">
        <v>350</v>
      </c>
      <c r="C245" s="2" t="s">
        <v>300</v>
      </c>
      <c r="D245" s="2" t="s">
        <v>431</v>
      </c>
      <c r="E245" s="6">
        <v>2700</v>
      </c>
      <c r="F245" s="18"/>
      <c r="G245" s="18"/>
      <c r="H245" s="18">
        <v>490343</v>
      </c>
      <c r="I245" s="18"/>
      <c r="J245" s="18"/>
      <c r="K245" s="18"/>
      <c r="L245" s="19">
        <f t="shared" si="4"/>
        <v>490343</v>
      </c>
      <c r="M245" s="8"/>
      <c r="N245" s="264"/>
    </row>
    <row r="246" spans="1:14" s="3" customFormat="1" ht="12.2" customHeight="1" x14ac:dyDescent="0.15">
      <c r="A246" s="1" t="s">
        <v>449</v>
      </c>
      <c r="B246" s="2" t="s">
        <v>350</v>
      </c>
      <c r="C246" s="2" t="s">
        <v>343</v>
      </c>
      <c r="D246" s="2" t="s">
        <v>431</v>
      </c>
      <c r="E246" s="6">
        <v>2800</v>
      </c>
      <c r="F246" s="18">
        <v>22090</v>
      </c>
      <c r="G246" s="18">
        <v>353835</v>
      </c>
      <c r="H246" s="18"/>
      <c r="I246" s="18"/>
      <c r="J246" s="18"/>
      <c r="K246" s="18"/>
      <c r="L246" s="19">
        <f>SUM(F246:K246)</f>
        <v>375925</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4025533</v>
      </c>
      <c r="G248" s="41">
        <f t="shared" si="5"/>
        <v>2131290</v>
      </c>
      <c r="H248" s="41">
        <f t="shared" si="5"/>
        <v>1666067</v>
      </c>
      <c r="I248" s="41">
        <f t="shared" si="5"/>
        <v>354705</v>
      </c>
      <c r="J248" s="41">
        <f t="shared" si="5"/>
        <v>387905</v>
      </c>
      <c r="K248" s="41">
        <f t="shared" si="5"/>
        <v>21100</v>
      </c>
      <c r="L248" s="41">
        <f t="shared" si="5"/>
        <v>8586600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12740798</v>
      </c>
      <c r="G258" s="41">
        <f t="shared" si="8"/>
        <v>6776959</v>
      </c>
      <c r="H258" s="41">
        <f t="shared" si="8"/>
        <v>4227208</v>
      </c>
      <c r="I258" s="41">
        <f t="shared" si="8"/>
        <v>965443</v>
      </c>
      <c r="J258" s="41">
        <f t="shared" si="8"/>
        <v>1171003</v>
      </c>
      <c r="K258" s="41">
        <f t="shared" si="8"/>
        <v>27391</v>
      </c>
      <c r="L258" s="41">
        <f t="shared" si="8"/>
        <v>25908802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195000</v>
      </c>
      <c r="L267" s="19">
        <f t="shared" si="9"/>
        <v>195000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195000</v>
      </c>
      <c r="L271" s="41">
        <f t="shared" si="9"/>
        <v>195000</v>
      </c>
      <c r="M271" s="8"/>
      <c r="N271" s="264"/>
    </row>
    <row r="272" spans="1:14" s="34" customFormat="1" ht="12.2" customHeight="1" thickTop="1" x14ac:dyDescent="0.2">
      <c r="A272" s="43" t="s">
        <v>464</v>
      </c>
      <c r="B272" s="40">
        <v>10</v>
      </c>
      <c r="C272" s="40">
        <v>18</v>
      </c>
      <c r="D272" s="39" t="s">
        <v>431</v>
      </c>
      <c r="E272" s="40"/>
      <c r="F272" s="42">
        <f t="shared" ref="F272:L272" si="11">F258+F271</f>
        <v>12740798</v>
      </c>
      <c r="G272" s="42">
        <f t="shared" si="11"/>
        <v>6776959</v>
      </c>
      <c r="H272" s="42">
        <f t="shared" si="11"/>
        <v>4227208</v>
      </c>
      <c r="I272" s="42">
        <f t="shared" si="11"/>
        <v>965443</v>
      </c>
      <c r="J272" s="42">
        <f t="shared" si="11"/>
        <v>1171003</v>
      </c>
      <c r="K272" s="42">
        <f t="shared" si="11"/>
        <v>222391</v>
      </c>
      <c r="L272" s="42">
        <f t="shared" si="11"/>
        <v>26103802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308715</v>
      </c>
      <c r="G277" s="18">
        <v>98151</v>
      </c>
      <c r="H277" s="18">
        <v>9243</v>
      </c>
      <c r="I277" s="18">
        <v>14611</v>
      </c>
      <c r="J277" s="18">
        <v>191</v>
      </c>
      <c r="K277" s="18"/>
      <c r="L277" s="19">
        <f>SUM(F277:K277)</f>
        <v>430911</v>
      </c>
      <c r="M277" s="8"/>
      <c r="N277" s="264"/>
    </row>
    <row r="278" spans="1:14" s="3" customFormat="1" ht="12.2" customHeight="1" x14ac:dyDescent="0.15">
      <c r="A278" s="1" t="s">
        <v>439</v>
      </c>
      <c r="B278" s="2" t="s">
        <v>357</v>
      </c>
      <c r="C278" s="2" t="s">
        <v>291</v>
      </c>
      <c r="D278" s="2" t="s">
        <v>431</v>
      </c>
      <c r="E278" s="6">
        <v>1200</v>
      </c>
      <c r="F278" s="18">
        <v>12631</v>
      </c>
      <c r="G278" s="18">
        <v>2788</v>
      </c>
      <c r="H278" s="18"/>
      <c r="I278" s="18">
        <v>1100</v>
      </c>
      <c r="J278" s="18">
        <v>1012</v>
      </c>
      <c r="K278" s="18">
        <v>1698</v>
      </c>
      <c r="L278" s="19">
        <f>SUM(F278:K278)</f>
        <v>19229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8826</v>
      </c>
      <c r="J280" s="18"/>
      <c r="K280" s="18">
        <v>474</v>
      </c>
      <c r="L280" s="19">
        <f>SUM(F280:K280)</f>
        <v>9300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15321</v>
      </c>
      <c r="G282" s="18">
        <v>5111</v>
      </c>
      <c r="H282" s="18"/>
      <c r="I282" s="18">
        <v>8734</v>
      </c>
      <c r="J282" s="18">
        <v>137</v>
      </c>
      <c r="K282" s="18"/>
      <c r="L282" s="19">
        <f t="shared" ref="L282:L288" si="12">SUM(F282:K282)</f>
        <v>29303</v>
      </c>
      <c r="M282" s="8"/>
      <c r="N282" s="264"/>
    </row>
    <row r="283" spans="1:14" s="3" customFormat="1" ht="12.2" customHeight="1" x14ac:dyDescent="0.15">
      <c r="A283" s="1" t="s">
        <v>443</v>
      </c>
      <c r="B283" s="2" t="s">
        <v>357</v>
      </c>
      <c r="C283" s="2" t="s">
        <v>295</v>
      </c>
      <c r="D283" s="2" t="s">
        <v>431</v>
      </c>
      <c r="E283" s="6">
        <v>2200</v>
      </c>
      <c r="F283" s="18">
        <v>10649</v>
      </c>
      <c r="G283" s="18">
        <v>658</v>
      </c>
      <c r="H283" s="18">
        <v>34299</v>
      </c>
      <c r="I283" s="18">
        <v>12839</v>
      </c>
      <c r="J283" s="18">
        <v>26805</v>
      </c>
      <c r="K283" s="18"/>
      <c r="L283" s="19">
        <f t="shared" si="12"/>
        <v>85250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v>26924</v>
      </c>
      <c r="L284" s="19">
        <f t="shared" si="12"/>
        <v>26924</v>
      </c>
      <c r="M284" s="8"/>
      <c r="N284" s="264"/>
    </row>
    <row r="285" spans="1:14" s="3" customFormat="1" ht="12.2" customHeight="1" x14ac:dyDescent="0.15">
      <c r="A285" s="1" t="s">
        <v>445</v>
      </c>
      <c r="B285" s="2" t="s">
        <v>357</v>
      </c>
      <c r="C285" s="2" t="s">
        <v>297</v>
      </c>
      <c r="D285" s="2" t="s">
        <v>431</v>
      </c>
      <c r="E285" s="6">
        <v>2400</v>
      </c>
      <c r="F285" s="18">
        <v>6155</v>
      </c>
      <c r="G285" s="18">
        <v>1288</v>
      </c>
      <c r="H285" s="18"/>
      <c r="I285" s="18"/>
      <c r="J285" s="18"/>
      <c r="K285" s="18"/>
      <c r="L285" s="19">
        <f t="shared" si="12"/>
        <v>7443</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2191</v>
      </c>
      <c r="I287" s="18">
        <v>36768</v>
      </c>
      <c r="J287" s="18">
        <v>51407</v>
      </c>
      <c r="K287" s="18"/>
      <c r="L287" s="19">
        <f t="shared" si="12"/>
        <v>90366</v>
      </c>
      <c r="M287" s="8"/>
      <c r="N287" s="264"/>
    </row>
    <row r="288" spans="1:14" s="3" customFormat="1" ht="12.2" customHeight="1" x14ac:dyDescent="0.15">
      <c r="A288" s="1" t="s">
        <v>448</v>
      </c>
      <c r="B288" s="2" t="s">
        <v>357</v>
      </c>
      <c r="C288" s="2" t="s">
        <v>300</v>
      </c>
      <c r="D288" s="2" t="s">
        <v>431</v>
      </c>
      <c r="E288" s="6">
        <v>2700</v>
      </c>
      <c r="F288" s="18"/>
      <c r="G288" s="18"/>
      <c r="H288" s="18">
        <v>7394</v>
      </c>
      <c r="I288" s="18"/>
      <c r="J288" s="18"/>
      <c r="K288" s="18"/>
      <c r="L288" s="19">
        <f t="shared" si="12"/>
        <v>7394</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353471</v>
      </c>
      <c r="G291" s="42">
        <f t="shared" si="13"/>
        <v>107996</v>
      </c>
      <c r="H291" s="42">
        <f t="shared" si="13"/>
        <v>53127</v>
      </c>
      <c r="I291" s="42">
        <f t="shared" si="13"/>
        <v>82878</v>
      </c>
      <c r="J291" s="42">
        <f t="shared" si="13"/>
        <v>79552</v>
      </c>
      <c r="K291" s="42">
        <f t="shared" si="13"/>
        <v>29096</v>
      </c>
      <c r="L291" s="41">
        <f t="shared" si="13"/>
        <v>706120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40639</v>
      </c>
      <c r="G315" s="18">
        <v>2591</v>
      </c>
      <c r="H315" s="18">
        <v>12708</v>
      </c>
      <c r="I315" s="18">
        <v>5523</v>
      </c>
      <c r="J315" s="18">
        <v>88</v>
      </c>
      <c r="K315" s="18"/>
      <c r="L315" s="19">
        <f>SUM(F315:K315)</f>
        <v>61549</v>
      </c>
      <c r="M315" s="8"/>
      <c r="N315" s="264"/>
    </row>
    <row r="316" spans="1:14" s="3" customFormat="1" ht="12.2" customHeight="1" x14ac:dyDescent="0.15">
      <c r="A316" s="1" t="s">
        <v>439</v>
      </c>
      <c r="B316" s="2" t="s">
        <v>359</v>
      </c>
      <c r="C316" s="2" t="s">
        <v>291</v>
      </c>
      <c r="D316" s="2" t="s">
        <v>431</v>
      </c>
      <c r="E316" s="6">
        <v>1200</v>
      </c>
      <c r="F316" s="18">
        <v>5818</v>
      </c>
      <c r="G316" s="18">
        <v>1284</v>
      </c>
      <c r="H316" s="18"/>
      <c r="I316" s="18">
        <v>507</v>
      </c>
      <c r="J316" s="18">
        <v>466</v>
      </c>
      <c r="K316" s="18">
        <v>782</v>
      </c>
      <c r="L316" s="19">
        <f>SUM(F316:K316)</f>
        <v>8857</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v>4650</v>
      </c>
      <c r="J318" s="18">
        <v>4120</v>
      </c>
      <c r="K318" s="18"/>
      <c r="L318" s="19">
        <f>SUM(F318:K318)</f>
        <v>8770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6412</v>
      </c>
      <c r="G320" s="18">
        <v>2354</v>
      </c>
      <c r="H320" s="18"/>
      <c r="I320" s="18">
        <v>3998</v>
      </c>
      <c r="J320" s="18">
        <v>63</v>
      </c>
      <c r="K320" s="18"/>
      <c r="L320" s="19">
        <f t="shared" ref="L320:L326" si="16">SUM(F320:K320)</f>
        <v>12827</v>
      </c>
      <c r="M320" s="8"/>
      <c r="N320" s="264"/>
    </row>
    <row r="321" spans="1:14" s="3" customFormat="1" ht="12.2" customHeight="1" x14ac:dyDescent="0.15">
      <c r="A321" s="1" t="s">
        <v>443</v>
      </c>
      <c r="B321" s="2" t="s">
        <v>359</v>
      </c>
      <c r="C321" s="2" t="s">
        <v>295</v>
      </c>
      <c r="D321" s="2" t="s">
        <v>431</v>
      </c>
      <c r="E321" s="6">
        <v>2200</v>
      </c>
      <c r="F321" s="18">
        <v>4905</v>
      </c>
      <c r="G321" s="18">
        <v>303</v>
      </c>
      <c r="H321" s="18">
        <v>15798</v>
      </c>
      <c r="I321" s="18">
        <v>5914</v>
      </c>
      <c r="J321" s="18">
        <v>12346</v>
      </c>
      <c r="K321" s="18"/>
      <c r="L321" s="19">
        <f t="shared" si="16"/>
        <v>39266</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v>4253</v>
      </c>
      <c r="L322" s="19">
        <f t="shared" si="16"/>
        <v>4253</v>
      </c>
      <c r="M322" s="8"/>
      <c r="N322" s="264"/>
    </row>
    <row r="323" spans="1:14" s="3" customFormat="1" ht="12.2" customHeight="1" x14ac:dyDescent="0.15">
      <c r="A323" s="1" t="s">
        <v>445</v>
      </c>
      <c r="B323" s="2" t="s">
        <v>359</v>
      </c>
      <c r="C323" s="2" t="s">
        <v>297</v>
      </c>
      <c r="D323" s="2" t="s">
        <v>431</v>
      </c>
      <c r="E323" s="6">
        <v>2400</v>
      </c>
      <c r="F323" s="18">
        <v>2835</v>
      </c>
      <c r="G323" s="18">
        <v>593</v>
      </c>
      <c r="H323" s="18"/>
      <c r="I323" s="18"/>
      <c r="J323" s="18"/>
      <c r="K323" s="18"/>
      <c r="L323" s="19">
        <f t="shared" si="16"/>
        <v>3428</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1009</v>
      </c>
      <c r="I325" s="18">
        <v>16936</v>
      </c>
      <c r="J325" s="18">
        <v>23678</v>
      </c>
      <c r="K325" s="18"/>
      <c r="L325" s="19">
        <f t="shared" si="16"/>
        <v>41623</v>
      </c>
      <c r="M325" s="8"/>
      <c r="N325" s="264"/>
    </row>
    <row r="326" spans="1:14" s="3" customFormat="1" ht="12.2" customHeight="1" x14ac:dyDescent="0.15">
      <c r="A326" s="1" t="s">
        <v>448</v>
      </c>
      <c r="B326" s="2" t="s">
        <v>359</v>
      </c>
      <c r="C326" s="2" t="s">
        <v>300</v>
      </c>
      <c r="D326" s="2" t="s">
        <v>431</v>
      </c>
      <c r="E326" s="6">
        <v>2700</v>
      </c>
      <c r="F326" s="18"/>
      <c r="G326" s="18"/>
      <c r="H326" s="18">
        <v>3817</v>
      </c>
      <c r="I326" s="18"/>
      <c r="J326" s="18"/>
      <c r="K326" s="18"/>
      <c r="L326" s="19">
        <f t="shared" si="16"/>
        <v>3817</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60609</v>
      </c>
      <c r="G329" s="42">
        <f t="shared" si="17"/>
        <v>7125</v>
      </c>
      <c r="H329" s="42">
        <f t="shared" si="17"/>
        <v>33332</v>
      </c>
      <c r="I329" s="42">
        <f t="shared" si="17"/>
        <v>37528</v>
      </c>
      <c r="J329" s="42">
        <f t="shared" si="17"/>
        <v>40761</v>
      </c>
      <c r="K329" s="42">
        <f t="shared" si="17"/>
        <v>5035</v>
      </c>
      <c r="L329" s="41">
        <f t="shared" si="17"/>
        <v>184390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414080</v>
      </c>
      <c r="G339" s="41">
        <f t="shared" si="20"/>
        <v>115121</v>
      </c>
      <c r="H339" s="41">
        <f t="shared" si="20"/>
        <v>86459</v>
      </c>
      <c r="I339" s="41">
        <f t="shared" si="20"/>
        <v>120406</v>
      </c>
      <c r="J339" s="41">
        <f t="shared" si="20"/>
        <v>120313</v>
      </c>
      <c r="K339" s="41">
        <f t="shared" si="20"/>
        <v>34131</v>
      </c>
      <c r="L339" s="41">
        <f t="shared" si="20"/>
        <v>890510</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414080</v>
      </c>
      <c r="G353" s="41">
        <f>G339</f>
        <v>115121</v>
      </c>
      <c r="H353" s="41">
        <f>H339</f>
        <v>86459</v>
      </c>
      <c r="I353" s="41">
        <f>I339</f>
        <v>120406</v>
      </c>
      <c r="J353" s="41">
        <f>J339</f>
        <v>120313</v>
      </c>
      <c r="K353" s="47">
        <f>K339+K352</f>
        <v>34131</v>
      </c>
      <c r="L353" s="41">
        <f>L339+L352</f>
        <v>890510</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254555</v>
      </c>
      <c r="I359" s="18">
        <v>685</v>
      </c>
      <c r="J359" s="18"/>
      <c r="K359" s="18">
        <v>596</v>
      </c>
      <c r="L359" s="13">
        <f>SUM(F359:K359)</f>
        <v>255836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v>117247</v>
      </c>
      <c r="I361" s="18">
        <v>315</v>
      </c>
      <c r="J361" s="18"/>
      <c r="K361" s="18">
        <v>274</v>
      </c>
      <c r="L361" s="19">
        <f>SUM(F361:K361)</f>
        <v>117836</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371802</v>
      </c>
      <c r="I363" s="47">
        <f t="shared" si="22"/>
        <v>1000</v>
      </c>
      <c r="J363" s="47">
        <f t="shared" si="22"/>
        <v>0</v>
      </c>
      <c r="K363" s="47">
        <f t="shared" si="22"/>
        <v>870</v>
      </c>
      <c r="L363" s="47">
        <f t="shared" si="22"/>
        <v>373672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685</v>
      </c>
      <c r="G369" s="63"/>
      <c r="H369" s="63">
        <v>315</v>
      </c>
      <c r="I369" s="56">
        <f>SUM(F369:H369)</f>
        <v>1000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685</v>
      </c>
      <c r="G370" s="47">
        <f>SUM(G368:G369)</f>
        <v>0</v>
      </c>
      <c r="H370" s="47">
        <f>SUM(H368:H369)</f>
        <v>315</v>
      </c>
      <c r="I370" s="47">
        <f>SUM(I368:I369)</f>
        <v>1000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v>20000</v>
      </c>
      <c r="H391" s="18">
        <v>576</v>
      </c>
      <c r="I391" s="18"/>
      <c r="J391" s="24" t="s">
        <v>288</v>
      </c>
      <c r="K391" s="24" t="s">
        <v>288</v>
      </c>
      <c r="L391" s="56">
        <f t="shared" si="25"/>
        <v>20576</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2</v>
      </c>
      <c r="I393" s="18"/>
      <c r="J393" s="24" t="s">
        <v>288</v>
      </c>
      <c r="K393" s="24" t="s">
        <v>288</v>
      </c>
      <c r="L393" s="56">
        <f t="shared" si="25"/>
        <v>2</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20000</v>
      </c>
      <c r="H394" s="139">
        <f>SUM(H388:H393)</f>
        <v>578</v>
      </c>
      <c r="I394" s="65">
        <f>SUM(I388:I393)</f>
        <v>0</v>
      </c>
      <c r="J394" s="45" t="s">
        <v>288</v>
      </c>
      <c r="K394" s="45" t="s">
        <v>288</v>
      </c>
      <c r="L394" s="47">
        <f>SUM(L388:L393)</f>
        <v>20578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v>53</v>
      </c>
      <c r="I396" s="18"/>
      <c r="J396" s="24" t="s">
        <v>288</v>
      </c>
      <c r="K396" s="24" t="s">
        <v>288</v>
      </c>
      <c r="L396" s="56">
        <f t="shared" ref="L396:L401" si="26">SUM(F396:K396)</f>
        <v>53</v>
      </c>
      <c r="M396" s="8"/>
      <c r="N396" s="264"/>
    </row>
    <row r="397" spans="1:14" s="3" customFormat="1" ht="12.2" customHeight="1" x14ac:dyDescent="0.15">
      <c r="A397" s="79" t="s">
        <v>557</v>
      </c>
      <c r="B397" s="2" t="s">
        <v>381</v>
      </c>
      <c r="C397" s="6">
        <v>9</v>
      </c>
      <c r="D397" s="2" t="s">
        <v>432</v>
      </c>
      <c r="E397" s="6"/>
      <c r="F397" s="18"/>
      <c r="G397" s="18">
        <v>100000</v>
      </c>
      <c r="H397" s="18">
        <v>265</v>
      </c>
      <c r="I397" s="18"/>
      <c r="J397" s="24" t="s">
        <v>288</v>
      </c>
      <c r="K397" s="24" t="s">
        <v>288</v>
      </c>
      <c r="L397" s="56">
        <f t="shared" si="26"/>
        <v>100265</v>
      </c>
      <c r="M397" s="8"/>
      <c r="N397" s="264"/>
    </row>
    <row r="398" spans="1:14" s="3" customFormat="1" ht="12.2" customHeight="1" x14ac:dyDescent="0.15">
      <c r="A398" s="79" t="s">
        <v>515</v>
      </c>
      <c r="B398" s="2" t="s">
        <v>381</v>
      </c>
      <c r="C398" s="6">
        <v>10</v>
      </c>
      <c r="D398" s="2" t="s">
        <v>432</v>
      </c>
      <c r="E398" s="6"/>
      <c r="F398" s="18"/>
      <c r="G398" s="18">
        <v>75000</v>
      </c>
      <c r="H398" s="18">
        <v>5057</v>
      </c>
      <c r="I398" s="18"/>
      <c r="J398" s="24" t="s">
        <v>288</v>
      </c>
      <c r="K398" s="24" t="s">
        <v>288</v>
      </c>
      <c r="L398" s="56">
        <f t="shared" si="26"/>
        <v>80057</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175000</v>
      </c>
      <c r="H402" s="47">
        <f>SUM(H396:H401)</f>
        <v>5375</v>
      </c>
      <c r="I402" s="47">
        <f>SUM(I396:I401)</f>
        <v>0</v>
      </c>
      <c r="J402" s="45" t="s">
        <v>288</v>
      </c>
      <c r="K402" s="45" t="s">
        <v>288</v>
      </c>
      <c r="L402" s="47">
        <f>SUM(L396:L401)</f>
        <v>180375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195000</v>
      </c>
      <c r="H409" s="47">
        <f>H394+H402+H408</f>
        <v>5953</v>
      </c>
      <c r="I409" s="47">
        <f>I394+I402+I408</f>
        <v>0</v>
      </c>
      <c r="J409" s="24" t="s">
        <v>288</v>
      </c>
      <c r="K409" s="24" t="s">
        <v>288</v>
      </c>
      <c r="L409" s="47">
        <f>L394+L402+L408</f>
        <v>200953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v>1092759</v>
      </c>
      <c r="I440" s="56">
        <f t="shared" ref="I440:I446" si="33">SUM(F440:H440)</f>
        <v>1092759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1092759</v>
      </c>
      <c r="I447" s="13">
        <f>SUM(I440:I446)</f>
        <v>1092759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v>1092759</v>
      </c>
      <c r="I460" s="56">
        <f t="shared" si="34"/>
        <v>1092759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1092759</v>
      </c>
      <c r="I461" s="83">
        <f>SUM(I455:I460)</f>
        <v>1092759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1092759</v>
      </c>
      <c r="I462" s="42">
        <f>I453+I461</f>
        <v>1092759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957141</v>
      </c>
      <c r="G466" s="18">
        <v>48138</v>
      </c>
      <c r="H466" s="18">
        <v>83674</v>
      </c>
      <c r="I466" s="18">
        <v>3231</v>
      </c>
      <c r="J466" s="18">
        <v>891754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27448018</v>
      </c>
      <c r="G469" s="18">
        <v>365987</v>
      </c>
      <c r="H469" s="18">
        <v>916769</v>
      </c>
      <c r="I469" s="18"/>
      <c r="J469" s="18">
        <v>200953</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v>52</v>
      </c>
      <c r="K470" s="24" t="s">
        <v>288</v>
      </c>
      <c r="L470" s="24" t="s">
        <v>288</v>
      </c>
      <c r="N470" s="263"/>
    </row>
    <row r="471" spans="1:14" s="52" customFormat="1" ht="12.2" customHeight="1" x14ac:dyDescent="0.2">
      <c r="A471" s="92" t="s">
        <v>425</v>
      </c>
      <c r="B471" s="75">
        <v>19</v>
      </c>
      <c r="C471" s="80">
        <v>4</v>
      </c>
      <c r="D471" s="2" t="s">
        <v>432</v>
      </c>
      <c r="E471" s="80"/>
      <c r="F471" s="53">
        <f>SUM(F469:F470)</f>
        <v>27448018</v>
      </c>
      <c r="G471" s="53">
        <f>SUM(G469:G470)</f>
        <v>365987</v>
      </c>
      <c r="H471" s="53">
        <f>SUM(H469:H470)</f>
        <v>916769</v>
      </c>
      <c r="I471" s="53">
        <f>SUM(I469:I470)</f>
        <v>0</v>
      </c>
      <c r="J471" s="53">
        <f>SUM(J469:J470)</f>
        <v>201005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26103802</v>
      </c>
      <c r="G473" s="18">
        <v>373672</v>
      </c>
      <c r="H473" s="18">
        <v>890510</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26103802</v>
      </c>
      <c r="G475" s="53">
        <f>SUM(G473:G474)</f>
        <v>373672</v>
      </c>
      <c r="H475" s="53">
        <f>SUM(H473:H474)</f>
        <v>890510</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2301357</v>
      </c>
      <c r="G477" s="53">
        <f>(G466+G471)- G475</f>
        <v>40453</v>
      </c>
      <c r="H477" s="53">
        <f>(H466+H471)- H475</f>
        <v>109933</v>
      </c>
      <c r="I477" s="53">
        <f>(I466+I471)- I475</f>
        <v>3231</v>
      </c>
      <c r="J477" s="53">
        <f>(J466+J471)- J475</f>
        <v>1092759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1999621</v>
      </c>
      <c r="G522" s="18">
        <v>789685</v>
      </c>
      <c r="H522" s="18">
        <v>38520</v>
      </c>
      <c r="I522" s="18">
        <v>3401</v>
      </c>
      <c r="J522" s="18">
        <v>2716</v>
      </c>
      <c r="K522" s="18">
        <v>1698</v>
      </c>
      <c r="L522" s="88">
        <f>SUM(F522:K522)</f>
        <v>2835641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v>708313</v>
      </c>
      <c r="G524" s="18">
        <v>277115</v>
      </c>
      <c r="H524" s="18">
        <v>126634</v>
      </c>
      <c r="I524" s="18">
        <v>2647</v>
      </c>
      <c r="J524" s="18">
        <v>1251</v>
      </c>
      <c r="K524" s="18">
        <v>782</v>
      </c>
      <c r="L524" s="88">
        <f>SUM(F524:K524)</f>
        <v>1116742</v>
      </c>
      <c r="N524" s="263"/>
    </row>
    <row r="525" spans="1:14" s="52" customFormat="1" ht="12.2" customHeight="1" thickTop="1" x14ac:dyDescent="0.2">
      <c r="A525" s="139" t="s">
        <v>63</v>
      </c>
      <c r="B525" s="107">
        <v>21</v>
      </c>
      <c r="C525" s="195">
        <v>4</v>
      </c>
      <c r="D525" s="196" t="s">
        <v>432</v>
      </c>
      <c r="E525" s="195"/>
      <c r="F525" s="108">
        <f>SUM(F522:F524)</f>
        <v>2707934</v>
      </c>
      <c r="G525" s="108">
        <f t="shared" ref="G525:L525" si="36">SUM(G522:G524)</f>
        <v>1066800</v>
      </c>
      <c r="H525" s="108">
        <f t="shared" si="36"/>
        <v>165154</v>
      </c>
      <c r="I525" s="108">
        <f t="shared" si="36"/>
        <v>6048</v>
      </c>
      <c r="J525" s="108">
        <f t="shared" si="36"/>
        <v>3967</v>
      </c>
      <c r="K525" s="108">
        <f t="shared" si="36"/>
        <v>2480</v>
      </c>
      <c r="L525" s="89">
        <f t="shared" si="36"/>
        <v>3952383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654037</v>
      </c>
      <c r="G527" s="18">
        <v>300394</v>
      </c>
      <c r="H527" s="18">
        <v>82549</v>
      </c>
      <c r="I527" s="18">
        <v>17010</v>
      </c>
      <c r="J527" s="18">
        <v>1561</v>
      </c>
      <c r="K527" s="18">
        <v>199</v>
      </c>
      <c r="L527" s="88">
        <f>SUM(F527:K527)</f>
        <v>1055750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v>274364</v>
      </c>
      <c r="G529" s="18">
        <v>129339</v>
      </c>
      <c r="H529" s="18">
        <v>7351</v>
      </c>
      <c r="I529" s="18">
        <v>8338</v>
      </c>
      <c r="J529" s="18">
        <v>25</v>
      </c>
      <c r="K529" s="18">
        <v>172</v>
      </c>
      <c r="L529" s="88">
        <f>SUM(F529:K529)</f>
        <v>419589</v>
      </c>
      <c r="M529" s="8"/>
      <c r="N529" s="264"/>
    </row>
    <row r="530" spans="1:14" s="3" customFormat="1" ht="12.2" customHeight="1" thickTop="1" x14ac:dyDescent="0.15">
      <c r="A530" s="139" t="s">
        <v>65</v>
      </c>
      <c r="B530" s="107">
        <v>21</v>
      </c>
      <c r="C530" s="107">
        <v>8</v>
      </c>
      <c r="D530" s="158" t="s">
        <v>432</v>
      </c>
      <c r="E530" s="107"/>
      <c r="F530" s="89">
        <f>SUM(F527:F529)</f>
        <v>928401</v>
      </c>
      <c r="G530" s="89">
        <f t="shared" ref="G530:L530" si="37">SUM(G527:G529)</f>
        <v>429733</v>
      </c>
      <c r="H530" s="89">
        <f t="shared" si="37"/>
        <v>89900</v>
      </c>
      <c r="I530" s="89">
        <f t="shared" si="37"/>
        <v>25348</v>
      </c>
      <c r="J530" s="89">
        <f t="shared" si="37"/>
        <v>1586</v>
      </c>
      <c r="K530" s="89">
        <f t="shared" si="37"/>
        <v>371</v>
      </c>
      <c r="L530" s="89">
        <f t="shared" si="37"/>
        <v>1475339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89500</v>
      </c>
      <c r="I532" s="18"/>
      <c r="J532" s="18"/>
      <c r="K532" s="18"/>
      <c r="L532" s="88">
        <f>SUM(F532:K532)</f>
        <v>89500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v>41223</v>
      </c>
      <c r="I534" s="18"/>
      <c r="J534" s="18"/>
      <c r="K534" s="18"/>
      <c r="L534" s="88">
        <f>SUM(F534:K534)</f>
        <v>41223</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130723</v>
      </c>
      <c r="I535" s="89">
        <f t="shared" si="38"/>
        <v>0</v>
      </c>
      <c r="J535" s="89">
        <f t="shared" si="38"/>
        <v>0</v>
      </c>
      <c r="K535" s="89">
        <f t="shared" si="38"/>
        <v>0</v>
      </c>
      <c r="L535" s="89">
        <f t="shared" si="38"/>
        <v>130723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463</v>
      </c>
      <c r="I537" s="18"/>
      <c r="J537" s="18"/>
      <c r="K537" s="18"/>
      <c r="L537" s="88">
        <f>SUM(F537:K537)</f>
        <v>463</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v>213</v>
      </c>
      <c r="I539" s="18"/>
      <c r="J539" s="18"/>
      <c r="K539" s="18"/>
      <c r="L539" s="88">
        <f>SUM(F539:K539)</f>
        <v>213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676</v>
      </c>
      <c r="I540" s="89">
        <f t="shared" si="39"/>
        <v>0</v>
      </c>
      <c r="J540" s="89">
        <f t="shared" si="39"/>
        <v>0</v>
      </c>
      <c r="K540" s="89">
        <f t="shared" si="39"/>
        <v>0</v>
      </c>
      <c r="L540" s="89">
        <f t="shared" si="39"/>
        <v>676</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224157</v>
      </c>
      <c r="I542" s="18"/>
      <c r="J542" s="18"/>
      <c r="K542" s="18"/>
      <c r="L542" s="88">
        <f>SUM(F542:K542)</f>
        <v>224157</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103245</v>
      </c>
      <c r="I544" s="18"/>
      <c r="J544" s="18"/>
      <c r="K544" s="18"/>
      <c r="L544" s="88">
        <f>SUM(F544:K544)</f>
        <v>103245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327402</v>
      </c>
      <c r="I545" s="193">
        <f t="shared" si="40"/>
        <v>0</v>
      </c>
      <c r="J545" s="193">
        <f t="shared" si="40"/>
        <v>0</v>
      </c>
      <c r="K545" s="193">
        <f t="shared" si="40"/>
        <v>0</v>
      </c>
      <c r="L545" s="193">
        <f t="shared" si="40"/>
        <v>327402</v>
      </c>
      <c r="M545" s="8"/>
      <c r="N545" s="264"/>
    </row>
    <row r="546" spans="1:14" s="3" customFormat="1" ht="12.2" customHeight="1" thickTop="1" x14ac:dyDescent="0.15">
      <c r="A546" s="98" t="s">
        <v>72</v>
      </c>
      <c r="B546" s="107">
        <v>21</v>
      </c>
      <c r="C546" s="107">
        <v>21</v>
      </c>
      <c r="D546" s="158" t="s">
        <v>432</v>
      </c>
      <c r="E546" s="107"/>
      <c r="F546" s="89">
        <f>F525+F530+F535+F540+F545</f>
        <v>3636335</v>
      </c>
      <c r="G546" s="89">
        <f t="shared" ref="G546:L546" si="41">G525+G530+G535+G540+G545</f>
        <v>1496533</v>
      </c>
      <c r="H546" s="89">
        <f t="shared" si="41"/>
        <v>713855</v>
      </c>
      <c r="I546" s="89">
        <f t="shared" si="41"/>
        <v>31396</v>
      </c>
      <c r="J546" s="89">
        <f t="shared" si="41"/>
        <v>5553</v>
      </c>
      <c r="K546" s="89">
        <f t="shared" si="41"/>
        <v>2851</v>
      </c>
      <c r="L546" s="89">
        <f t="shared" si="41"/>
        <v>5886523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2835641</v>
      </c>
      <c r="G550" s="87">
        <f>L527</f>
        <v>1055750</v>
      </c>
      <c r="H550" s="87">
        <f>L532</f>
        <v>89500</v>
      </c>
      <c r="I550" s="87">
        <f>L537</f>
        <v>463</v>
      </c>
      <c r="J550" s="87">
        <f>L542</f>
        <v>224157</v>
      </c>
      <c r="K550" s="87">
        <f>SUM(F550:J550)</f>
        <v>4205511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1116742</v>
      </c>
      <c r="G552" s="87">
        <f>L529</f>
        <v>419589</v>
      </c>
      <c r="H552" s="87">
        <f>L534</f>
        <v>41223</v>
      </c>
      <c r="I552" s="87">
        <f>L539</f>
        <v>213</v>
      </c>
      <c r="J552" s="87">
        <f>L544</f>
        <v>103245</v>
      </c>
      <c r="K552" s="87">
        <f>SUM(F552:J552)</f>
        <v>1681012</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3952383</v>
      </c>
      <c r="G553" s="89">
        <f t="shared" si="42"/>
        <v>1475339</v>
      </c>
      <c r="H553" s="89">
        <f t="shared" si="42"/>
        <v>130723</v>
      </c>
      <c r="I553" s="89">
        <f t="shared" si="42"/>
        <v>676</v>
      </c>
      <c r="J553" s="89">
        <f t="shared" si="42"/>
        <v>327402</v>
      </c>
      <c r="K553" s="89">
        <f t="shared" si="42"/>
        <v>5886523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146542</v>
      </c>
      <c r="G558" s="18">
        <v>63813</v>
      </c>
      <c r="H558" s="18">
        <v>2000</v>
      </c>
      <c r="I558" s="18">
        <v>3781</v>
      </c>
      <c r="J558" s="18"/>
      <c r="K558" s="18">
        <v>12752</v>
      </c>
      <c r="L558" s="88">
        <f>SUM(F558:K558)</f>
        <v>228888</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146542</v>
      </c>
      <c r="G561" s="108">
        <f t="shared" si="43"/>
        <v>63813</v>
      </c>
      <c r="H561" s="108">
        <f t="shared" si="43"/>
        <v>2000</v>
      </c>
      <c r="I561" s="108">
        <f t="shared" si="43"/>
        <v>3781</v>
      </c>
      <c r="J561" s="108">
        <f t="shared" si="43"/>
        <v>0</v>
      </c>
      <c r="K561" s="108">
        <f t="shared" si="43"/>
        <v>12752</v>
      </c>
      <c r="L561" s="89">
        <f t="shared" si="43"/>
        <v>228888</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34485</v>
      </c>
      <c r="G563" s="18">
        <v>12242</v>
      </c>
      <c r="H563" s="18"/>
      <c r="I563" s="18">
        <v>228</v>
      </c>
      <c r="J563" s="18"/>
      <c r="K563" s="18"/>
      <c r="L563" s="88">
        <f>SUM(F563:K563)</f>
        <v>46955</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v>15884</v>
      </c>
      <c r="G565" s="18">
        <v>5639</v>
      </c>
      <c r="H565" s="18"/>
      <c r="I565" s="18">
        <v>105</v>
      </c>
      <c r="J565" s="18"/>
      <c r="K565" s="18"/>
      <c r="L565" s="88">
        <f>SUM(F565:K565)</f>
        <v>21628</v>
      </c>
      <c r="M565" s="8"/>
      <c r="N565" s="264"/>
    </row>
    <row r="566" spans="1:14" s="3" customFormat="1" ht="12.2" customHeight="1" thickTop="1" x14ac:dyDescent="0.15">
      <c r="A566" s="139" t="s">
        <v>65</v>
      </c>
      <c r="B566" s="107">
        <v>22</v>
      </c>
      <c r="C566" s="107">
        <v>8</v>
      </c>
      <c r="D566" s="196" t="s">
        <v>432</v>
      </c>
      <c r="E566" s="107"/>
      <c r="F566" s="89">
        <f t="shared" ref="F566:L566" si="44">SUM(F563:F565)</f>
        <v>50369</v>
      </c>
      <c r="G566" s="89">
        <f t="shared" si="44"/>
        <v>17881</v>
      </c>
      <c r="H566" s="89">
        <f t="shared" si="44"/>
        <v>0</v>
      </c>
      <c r="I566" s="89">
        <f t="shared" si="44"/>
        <v>333</v>
      </c>
      <c r="J566" s="89">
        <f t="shared" si="44"/>
        <v>0</v>
      </c>
      <c r="K566" s="89">
        <f t="shared" si="44"/>
        <v>0</v>
      </c>
      <c r="L566" s="89">
        <f t="shared" si="44"/>
        <v>68583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196911</v>
      </c>
      <c r="G572" s="89">
        <f t="shared" ref="G572:L572" si="46">G561+G566+G571</f>
        <v>81694</v>
      </c>
      <c r="H572" s="89">
        <f t="shared" si="46"/>
        <v>2000</v>
      </c>
      <c r="I572" s="89">
        <f t="shared" si="46"/>
        <v>4114</v>
      </c>
      <c r="J572" s="89">
        <f t="shared" si="46"/>
        <v>0</v>
      </c>
      <c r="K572" s="89">
        <f t="shared" si="46"/>
        <v>12752</v>
      </c>
      <c r="L572" s="89">
        <f t="shared" si="46"/>
        <v>297471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52285</v>
      </c>
      <c r="I580" s="87">
        <f t="shared" si="47"/>
        <v>52285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v>54081</v>
      </c>
      <c r="I583" s="87">
        <f t="shared" si="47"/>
        <v>54081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114387</v>
      </c>
      <c r="I585" s="87">
        <f t="shared" si="47"/>
        <v>114387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612121</v>
      </c>
      <c r="I592" s="18"/>
      <c r="J592" s="18">
        <v>281940</v>
      </c>
      <c r="K592" s="104">
        <f t="shared" ref="K592:K598" si="48">SUM(H592:J592)</f>
        <v>894061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224157</v>
      </c>
      <c r="I593" s="18"/>
      <c r="J593" s="18">
        <v>103246</v>
      </c>
      <c r="K593" s="104">
        <f t="shared" si="48"/>
        <v>327403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62605</v>
      </c>
      <c r="K594" s="104">
        <f t="shared" si="48"/>
        <v>62605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35511</v>
      </c>
      <c r="K595" s="104">
        <f t="shared" si="48"/>
        <v>35511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6333</v>
      </c>
      <c r="I596" s="18"/>
      <c r="J596" s="18">
        <v>150</v>
      </c>
      <c r="K596" s="104">
        <f t="shared" si="48"/>
        <v>6483</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14962</v>
      </c>
      <c r="I598" s="18"/>
      <c r="J598" s="18">
        <v>6891</v>
      </c>
      <c r="K598" s="104">
        <f t="shared" si="48"/>
        <v>21853</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857573</v>
      </c>
      <c r="I599" s="108">
        <f>SUM(I592:I598)</f>
        <v>0</v>
      </c>
      <c r="J599" s="108">
        <f>SUM(J592:J598)</f>
        <v>490343</v>
      </c>
      <c r="K599" s="108">
        <f>SUM(K592:K598)</f>
        <v>1347916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862650</v>
      </c>
      <c r="I605" s="18"/>
      <c r="J605" s="18">
        <v>428666</v>
      </c>
      <c r="K605" s="104">
        <f>SUM(H605:J605)</f>
        <v>1291316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862650</v>
      </c>
      <c r="I606" s="108">
        <f>SUM(I603:I605)</f>
        <v>0</v>
      </c>
      <c r="J606" s="108">
        <f>SUM(J603:J605)</f>
        <v>428666</v>
      </c>
      <c r="K606" s="108">
        <f>SUM(K603:K605)</f>
        <v>1291316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88015</v>
      </c>
      <c r="G612" s="18">
        <v>18805</v>
      </c>
      <c r="H612" s="18">
        <v>30951</v>
      </c>
      <c r="I612" s="18">
        <v>1049</v>
      </c>
      <c r="J612" s="18">
        <v>1703</v>
      </c>
      <c r="K612" s="18"/>
      <c r="L612" s="88">
        <f>SUM(F612:K612)</f>
        <v>140523</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40539</v>
      </c>
      <c r="G614" s="18">
        <v>8661</v>
      </c>
      <c r="H614" s="18">
        <v>14256</v>
      </c>
      <c r="I614" s="18">
        <v>483</v>
      </c>
      <c r="J614" s="18">
        <v>785</v>
      </c>
      <c r="K614" s="18"/>
      <c r="L614" s="88">
        <f>SUM(F614:K614)</f>
        <v>64724</v>
      </c>
      <c r="M614" s="8"/>
      <c r="N614" s="264"/>
    </row>
    <row r="615" spans="1:14" s="3" customFormat="1" ht="12.2" customHeight="1" thickTop="1" x14ac:dyDescent="0.15">
      <c r="A615" s="98" t="s">
        <v>340</v>
      </c>
      <c r="B615" s="107">
        <v>23</v>
      </c>
      <c r="C615" s="107">
        <v>16</v>
      </c>
      <c r="D615" s="39" t="s">
        <v>432</v>
      </c>
      <c r="E615" s="107"/>
      <c r="F615" s="108">
        <f t="shared" ref="F615:L615" si="49">SUM(F612:F614)</f>
        <v>128554</v>
      </c>
      <c r="G615" s="108">
        <f t="shared" si="49"/>
        <v>27466</v>
      </c>
      <c r="H615" s="108">
        <f t="shared" si="49"/>
        <v>45207</v>
      </c>
      <c r="I615" s="108">
        <f t="shared" si="49"/>
        <v>1532</v>
      </c>
      <c r="J615" s="108">
        <f t="shared" si="49"/>
        <v>2488</v>
      </c>
      <c r="K615" s="108">
        <f t="shared" si="49"/>
        <v>0</v>
      </c>
      <c r="L615" s="89">
        <f t="shared" si="49"/>
        <v>205247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5152240</v>
      </c>
      <c r="H618" s="109">
        <f>SUM(F52)</f>
        <v>5152240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441350</v>
      </c>
      <c r="H619" s="109">
        <f>SUM(G52)</f>
        <v>441350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1038361</v>
      </c>
      <c r="H620" s="109">
        <f>SUM(H52)</f>
        <v>1038361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3231</v>
      </c>
      <c r="H621" s="109">
        <f>SUM(I52)</f>
        <v>3231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1092759</v>
      </c>
      <c r="H622" s="109">
        <f>SUM(J52)</f>
        <v>1092759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2301357</v>
      </c>
      <c r="H623" s="109">
        <f>F477</f>
        <v>2301357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40453</v>
      </c>
      <c r="H624" s="109">
        <f>G477</f>
        <v>40453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109933</v>
      </c>
      <c r="H625" s="109">
        <f>H477</f>
        <v>109933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3231</v>
      </c>
      <c r="H626" s="109">
        <f>I477</f>
        <v>3231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1092759</v>
      </c>
      <c r="H627" s="109">
        <f>J477</f>
        <v>1092759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27448018</v>
      </c>
      <c r="H628" s="104">
        <f>SUM(F469)</f>
        <v>27448018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365987</v>
      </c>
      <c r="H629" s="104">
        <f>SUM(G469)</f>
        <v>365987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916769</v>
      </c>
      <c r="H630" s="104">
        <f>SUM(H469)</f>
        <v>916769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200953</v>
      </c>
      <c r="H632" s="104">
        <f>SUM(J469)</f>
        <v>200953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26103802</v>
      </c>
      <c r="H633" s="104">
        <f>SUM(F473)</f>
        <v>26103802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890510</v>
      </c>
      <c r="H634" s="104">
        <f>SUM(H473)</f>
        <v>890510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1000</v>
      </c>
      <c r="H635" s="104">
        <f>I370</f>
        <v>1000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373672</v>
      </c>
      <c r="H636" s="104">
        <f>SUM(G473)</f>
        <v>373672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200953</v>
      </c>
      <c r="H638" s="164">
        <f>SUM(J469)</f>
        <v>200953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1092759</v>
      </c>
      <c r="H642" s="104">
        <f>SUM(H462)</f>
        <v>1092759</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1092759</v>
      </c>
      <c r="H643" s="104">
        <f>SUM(I462)</f>
        <v>1092759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5953</v>
      </c>
      <c r="H645" s="104">
        <f>H409</f>
        <v>5953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195000</v>
      </c>
      <c r="H646" s="104">
        <f>G409</f>
        <v>195000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200953</v>
      </c>
      <c r="H647" s="104">
        <f>L409</f>
        <v>200953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1347916</v>
      </c>
      <c r="H648" s="104">
        <f>L209+L227+L245</f>
        <v>1347916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1291316</v>
      </c>
      <c r="H649" s="104">
        <f>(J258+J339)-(J256+J337)</f>
        <v>1291316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857573</v>
      </c>
      <c r="H650" s="104">
        <f>H599</f>
        <v>857573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490343</v>
      </c>
      <c r="H652" s="104">
        <f>J599</f>
        <v>490343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195000</v>
      </c>
      <c r="H656" s="104">
        <f>K267+K348</f>
        <v>195000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18284158</v>
      </c>
      <c r="G661" s="19">
        <f>(L230+L310+L360)</f>
        <v>0</v>
      </c>
      <c r="H661" s="19">
        <f>(L248+L329+L361)</f>
        <v>8888826</v>
      </c>
      <c r="I661" s="19">
        <f>SUM(F661:H661)</f>
        <v>27172984</v>
      </c>
      <c r="J661" s="13"/>
      <c r="K661" s="13"/>
      <c r="L661" s="13"/>
      <c r="M661" s="9"/>
    </row>
    <row r="662" spans="1:13" s="3" customFormat="1" ht="12.2" customHeight="1" x14ac:dyDescent="0.2">
      <c r="A662" s="1" t="s">
        <v>127</v>
      </c>
      <c r="F662" s="19">
        <f>(L359/IF(SUM(L359:L361)=0,1,SUM(L359:L361))*(SUM(G97:G110)))</f>
        <v>13724.572502087392</v>
      </c>
      <c r="G662" s="19">
        <f>(L360/IF(SUM(L359:L361)=0,1,SUM(L359:L361))*(SUM(G97:G110)))</f>
        <v>0</v>
      </c>
      <c r="H662" s="19">
        <f>(L361/IF(SUM(L359:L361)=0,1,SUM(L359:L361))*(SUM(G97:G110)))</f>
        <v>6321.4274979126085</v>
      </c>
      <c r="I662" s="19">
        <f>SUM(F662:H662)</f>
        <v>20046</v>
      </c>
      <c r="J662"/>
      <c r="K662" s="13"/>
      <c r="L662" s="13"/>
      <c r="M662" s="8"/>
    </row>
    <row r="663" spans="1:13" s="3" customFormat="1" ht="12.2" customHeight="1" x14ac:dyDescent="0.2">
      <c r="A663" s="1" t="s">
        <v>128</v>
      </c>
      <c r="F663" s="19">
        <f>(L209+L288)-(J209+J288)</f>
        <v>864967</v>
      </c>
      <c r="G663" s="19">
        <f>(L227+L307)-(J227+J307)</f>
        <v>0</v>
      </c>
      <c r="H663" s="19">
        <f>(L245+L326)-(J245+J326)</f>
        <v>494160</v>
      </c>
      <c r="I663" s="19">
        <f>SUM(F663:H663)</f>
        <v>1359127</v>
      </c>
      <c r="J663"/>
      <c r="K663" s="13"/>
      <c r="L663" s="13"/>
      <c r="M663" s="9"/>
    </row>
    <row r="664" spans="1:13" s="3" customFormat="1" ht="12.2" customHeight="1" x14ac:dyDescent="0.15">
      <c r="A664" s="198" t="s">
        <v>129</v>
      </c>
      <c r="B664" s="169"/>
      <c r="C664" s="169"/>
      <c r="D664" s="169"/>
      <c r="E664" s="169"/>
      <c r="F664" s="199">
        <f>SUM(F576:F588)+SUM(H603:H605)+SUM(L612)</f>
        <v>1003173</v>
      </c>
      <c r="G664" s="199">
        <f>SUM(G576:G588)+SUM(I603:I605)+L613</f>
        <v>0</v>
      </c>
      <c r="H664" s="199">
        <f>SUM(H576:H588)+SUM(J603:J605)+L614</f>
        <v>714143</v>
      </c>
      <c r="I664" s="19">
        <f>SUM(F664:H664)</f>
        <v>1717316</v>
      </c>
      <c r="J664" s="13"/>
      <c r="K664" s="13"/>
      <c r="L664" s="13"/>
      <c r="M664" s="9"/>
    </row>
    <row r="665" spans="1:13" s="3" customFormat="1" ht="12.2" customHeight="1" x14ac:dyDescent="0.15">
      <c r="A665" s="1" t="s">
        <v>130</v>
      </c>
      <c r="F665" s="19">
        <f>F661-SUM(F662:F664)</f>
        <v>16402293.427497912</v>
      </c>
      <c r="G665" s="19">
        <f>G661-SUM(G662:G664)</f>
        <v>0</v>
      </c>
      <c r="H665" s="19">
        <f>H661-SUM(H662:H664)</f>
        <v>7674201.5725020878</v>
      </c>
      <c r="I665" s="19">
        <f>I661-SUM(I662:I664)</f>
        <v>24076495</v>
      </c>
      <c r="J665" s="13"/>
      <c r="K665" s="13"/>
      <c r="L665" s="13"/>
      <c r="M665" s="8"/>
    </row>
    <row r="666" spans="1:13" s="3" customFormat="1" ht="12.2" customHeight="1" x14ac:dyDescent="0.25">
      <c r="A666" s="1" t="s">
        <v>131</v>
      </c>
      <c r="F666" s="359">
        <v>622.07000000000005</v>
      </c>
      <c r="G666" s="359">
        <v>0</v>
      </c>
      <c r="H666" s="359">
        <v>286.47000000000003</v>
      </c>
      <c r="I666" s="19">
        <f>SUM(F666:H666)</f>
        <v>908.54000000000008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26367.279999999999</v>
      </c>
      <c r="G668" s="19" t="e">
        <f>ROUND(G665/G666,2)</f>
        <v>#DIV/0!</v>
      </c>
      <c r="H668" s="19">
        <f>ROUND(H665/H666,2)</f>
        <v>26788.85</v>
      </c>
      <c r="I668" s="19">
        <f>ROUND(I665/I666,2)</f>
        <v>26500.2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-11.5</v>
      </c>
      <c r="I671" s="19">
        <f>SUM(F671:H671)</f>
        <v>-11.5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26367.279999999999</v>
      </c>
      <c r="G673" s="19" t="e">
        <f>ROUND((G665+G670)/(G666+G671),2)</f>
        <v>#DIV/0!</v>
      </c>
      <c r="H673" s="19">
        <f>ROUND((H665+H670)/(H666+H671),2)</f>
        <v>27909.23</v>
      </c>
      <c r="I673" s="19">
        <f>ROUND((I665+I670)/(I666+I671),2)</f>
        <v>26839.93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I20" sqref="I2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136686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256135</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307002</v>
      </c>
      <c r="F22" s="346"/>
    </row>
    <row r="23" spans="2:8" x14ac:dyDescent="0.25">
      <c r="B23" s="346"/>
      <c r="C23" s="346"/>
      <c r="D23" s="346"/>
      <c r="E23" s="346"/>
      <c r="F23" s="346"/>
    </row>
    <row r="24" spans="2:8" ht="26.25" customHeight="1" x14ac:dyDescent="0.25">
      <c r="B24" s="346"/>
      <c r="C24" s="348" t="s">
        <v>1661</v>
      </c>
      <c r="D24" s="346"/>
      <c r="E24" s="341">
        <v>158856</v>
      </c>
      <c r="F24" s="346"/>
    </row>
    <row r="25" spans="2:8" ht="18" x14ac:dyDescent="0.25">
      <c r="B25" s="346"/>
      <c r="C25" s="349"/>
      <c r="D25" s="346"/>
      <c r="E25" s="346"/>
      <c r="F25" s="346"/>
    </row>
    <row r="26" spans="2:8" ht="27.75" customHeight="1" x14ac:dyDescent="0.25">
      <c r="B26" s="346"/>
      <c r="C26" s="348" t="s">
        <v>1662</v>
      </c>
      <c r="D26" s="346"/>
      <c r="E26" s="341">
        <v>148146</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85819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INTER-LAKES SCHOOL DISTRICT</v>
      </c>
      <c r="C5" s="363"/>
      <c r="D5" s="363"/>
      <c r="E5" s="363"/>
      <c r="F5" s="363"/>
    </row>
    <row r="8" spans="1:9" ht="18" x14ac:dyDescent="0.25">
      <c r="A8" s="317" t="s">
        <v>1576</v>
      </c>
      <c r="F8" s="324" t="s">
        <v>1594</v>
      </c>
    </row>
    <row r="9" spans="1:9" ht="15" x14ac:dyDescent="0.2">
      <c r="A9" s="315" t="s">
        <v>1577</v>
      </c>
      <c r="B9" s="318">
        <f>'DOE25'!G97</f>
        <v>20046</v>
      </c>
      <c r="F9" s="315" t="s">
        <v>1590</v>
      </c>
    </row>
    <row r="10" spans="1:9" ht="15" x14ac:dyDescent="0.2">
      <c r="A10" s="315" t="s">
        <v>1578</v>
      </c>
      <c r="B10" s="318">
        <f>'DOE25'!G112-'DOE25'!G97</f>
        <v>0</v>
      </c>
      <c r="F10" s="315" t="s">
        <v>1591</v>
      </c>
    </row>
    <row r="11" spans="1:9" ht="15" x14ac:dyDescent="0.2">
      <c r="A11" s="315" t="s">
        <v>1579</v>
      </c>
      <c r="B11" s="318">
        <f>'DOE25'!G140</f>
        <v>7448</v>
      </c>
      <c r="F11" s="315" t="s">
        <v>1592</v>
      </c>
    </row>
    <row r="12" spans="1:9" ht="15" x14ac:dyDescent="0.2">
      <c r="A12" s="315" t="s">
        <v>1580</v>
      </c>
      <c r="B12" s="318">
        <f>'DOE25'!G170</f>
        <v>338493</v>
      </c>
      <c r="F12" s="315" t="s">
        <v>1593</v>
      </c>
    </row>
    <row r="13" spans="1:9" ht="15" x14ac:dyDescent="0.2">
      <c r="A13" s="315" t="s">
        <v>1581</v>
      </c>
      <c r="B13" s="318">
        <f>'DOE25'!G193-'DOE25'!G180</f>
        <v>0</v>
      </c>
      <c r="F13" s="315" t="s">
        <v>1603</v>
      </c>
    </row>
    <row r="14" spans="1:9" ht="18" x14ac:dyDescent="0.25">
      <c r="A14" s="317" t="s">
        <v>732</v>
      </c>
      <c r="B14" s="319">
        <f>SUM(B9:B13)</f>
        <v>365987</v>
      </c>
    </row>
    <row r="16" spans="1:9" ht="18" x14ac:dyDescent="0.25">
      <c r="A16" s="317" t="s">
        <v>786</v>
      </c>
      <c r="F16" s="324" t="s">
        <v>1595</v>
      </c>
    </row>
    <row r="17" spans="1:6" ht="15" x14ac:dyDescent="0.2">
      <c r="A17" s="315" t="s">
        <v>1582</v>
      </c>
      <c r="B17" s="318">
        <f>'DOE25'!L363-'DOE25'!L362</f>
        <v>373672</v>
      </c>
      <c r="F17" s="315" t="s">
        <v>1596</v>
      </c>
    </row>
    <row r="18" spans="1:6" ht="15" x14ac:dyDescent="0.2">
      <c r="A18" s="315" t="s">
        <v>1583</v>
      </c>
      <c r="B18" s="328"/>
      <c r="F18" s="324" t="s">
        <v>1620</v>
      </c>
    </row>
    <row r="19" spans="1:6" ht="18" x14ac:dyDescent="0.25">
      <c r="A19" s="317" t="s">
        <v>725</v>
      </c>
      <c r="B19" s="319">
        <f>SUM(B17:B18)</f>
        <v>373672</v>
      </c>
    </row>
    <row r="21" spans="1:6" ht="18.75" thickBot="1" x14ac:dyDescent="0.3">
      <c r="A21" s="317" t="s">
        <v>1584</v>
      </c>
    </row>
    <row r="22" spans="1:6" ht="18.75" thickTop="1" x14ac:dyDescent="0.25">
      <c r="A22" s="317" t="s">
        <v>1585</v>
      </c>
      <c r="B22" s="323">
        <f>B14-B19</f>
        <v>-7685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48138</v>
      </c>
      <c r="F31" s="315" t="s">
        <v>1600</v>
      </c>
    </row>
    <row r="33" spans="1:6" ht="15" x14ac:dyDescent="0.2">
      <c r="A33" s="315" t="s">
        <v>1629</v>
      </c>
      <c r="B33" s="318">
        <f>'DOE25'!G477</f>
        <v>40453</v>
      </c>
      <c r="F33" s="315" t="s">
        <v>1601</v>
      </c>
    </row>
    <row r="36" spans="1:6" ht="15" x14ac:dyDescent="0.2">
      <c r="A36" s="315" t="s">
        <v>1587</v>
      </c>
      <c r="B36" s="329">
        <v>33114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18" sqref="F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INTER-LAKES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6726096</v>
      </c>
      <c r="C9" s="229">
        <f>'DOE25'!G198+'DOE25'!G216+'DOE25'!G234+'DOE25'!G277+'DOE25'!G296+'DOE25'!G315</f>
        <v>2886942</v>
      </c>
    </row>
    <row r="10" spans="1:3" x14ac:dyDescent="0.2">
      <c r="A10" t="s">
        <v>775</v>
      </c>
      <c r="B10" s="240">
        <v>6199197</v>
      </c>
      <c r="C10" s="240">
        <v>2811390</v>
      </c>
    </row>
    <row r="11" spans="1:3" x14ac:dyDescent="0.2">
      <c r="A11" t="s">
        <v>776</v>
      </c>
      <c r="B11" s="240">
        <v>186735</v>
      </c>
      <c r="C11" s="240">
        <v>49530</v>
      </c>
    </row>
    <row r="12" spans="1:3" x14ac:dyDescent="0.2">
      <c r="A12" t="s">
        <v>777</v>
      </c>
      <c r="B12" s="240">
        <v>340164</v>
      </c>
      <c r="C12" s="240">
        <v>26022</v>
      </c>
    </row>
    <row r="13" spans="1:3" x14ac:dyDescent="0.2">
      <c r="A13" t="str">
        <f>IF(B9=B13,IF(C9=C13,"Check Total OK","Check Total Error"),"Check Total Error")</f>
        <v>Check Total OK</v>
      </c>
      <c r="B13" s="231">
        <f>SUM(B10:B12)</f>
        <v>6726096</v>
      </c>
      <c r="C13" s="231">
        <f>SUM(C10:C12)</f>
        <v>2886942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2707934</v>
      </c>
      <c r="C18" s="229">
        <f>'DOE25'!G199+'DOE25'!G217+'DOE25'!G235+'DOE25'!G278+'DOE25'!G297+'DOE25'!G316</f>
        <v>1066801</v>
      </c>
    </row>
    <row r="19" spans="1:3" x14ac:dyDescent="0.2">
      <c r="A19" t="s">
        <v>775</v>
      </c>
      <c r="B19" s="240">
        <v>1171569</v>
      </c>
      <c r="C19" s="240">
        <v>548776</v>
      </c>
    </row>
    <row r="20" spans="1:3" x14ac:dyDescent="0.2">
      <c r="A20" t="s">
        <v>776</v>
      </c>
      <c r="B20" s="240">
        <v>1508678</v>
      </c>
      <c r="C20" s="240">
        <v>515907</v>
      </c>
    </row>
    <row r="21" spans="1:3" x14ac:dyDescent="0.2">
      <c r="A21" t="s">
        <v>777</v>
      </c>
      <c r="B21" s="240">
        <v>27687</v>
      </c>
      <c r="C21" s="240">
        <v>2118</v>
      </c>
    </row>
    <row r="22" spans="1:3" x14ac:dyDescent="0.2">
      <c r="A22" t="str">
        <f>IF(B18=B22,IF(C18=C22,"Check Total OK","Check Total Error"),"Check Total Error")</f>
        <v>Check Total OK</v>
      </c>
      <c r="B22" s="231">
        <f>SUM(B19:B21)</f>
        <v>2707934</v>
      </c>
      <c r="C22" s="231">
        <f>SUM(C19:C21)</f>
        <v>1066801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319025</v>
      </c>
      <c r="C36" s="235">
        <f>'DOE25'!G201+'DOE25'!G219+'DOE25'!G237+'DOE25'!G280+'DOE25'!G299+'DOE25'!G318</f>
        <v>69314</v>
      </c>
    </row>
    <row r="37" spans="1:3" x14ac:dyDescent="0.2">
      <c r="A37" t="s">
        <v>775</v>
      </c>
      <c r="B37" s="240"/>
      <c r="C37" s="240"/>
    </row>
    <row r="38" spans="1:3" x14ac:dyDescent="0.2">
      <c r="A38" t="s">
        <v>776</v>
      </c>
      <c r="B38" s="240"/>
      <c r="C38" s="240"/>
    </row>
    <row r="39" spans="1:3" x14ac:dyDescent="0.2">
      <c r="A39" t="s">
        <v>777</v>
      </c>
      <c r="B39" s="240">
        <v>319025</v>
      </c>
      <c r="C39" s="240">
        <v>69314</v>
      </c>
    </row>
    <row r="40" spans="1:3" x14ac:dyDescent="0.2">
      <c r="A40" t="str">
        <f>IF(B36=B40,IF(C36=C40,"Check Total OK","Check Total Error"),"Check Total Error")</f>
        <v>Check Total OK</v>
      </c>
      <c r="B40" s="231">
        <f>SUM(B37:B39)</f>
        <v>319025</v>
      </c>
      <c r="C40" s="231">
        <f>SUM(C37:C39)</f>
        <v>69314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V28" sqref="V2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INTER-LAKES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13904172</v>
      </c>
      <c r="D5" s="20">
        <f>SUM('DOE25'!L198:L201)+SUM('DOE25'!L216:L219)+SUM('DOE25'!L234:L237)-F5-G5-H5</f>
        <v>13720062</v>
      </c>
      <c r="E5" s="243"/>
      <c r="F5" s="244">
        <v>132858</v>
      </c>
      <c r="G5" s="53">
        <f>SUM('DOE25'!J198:J201)+SUM('DOE25'!J216:J219)+SUM('DOE25'!J234:J237)</f>
        <v>43619</v>
      </c>
      <c r="H5" s="53">
        <f>SUM('DOE25'!K198:K201)+SUM('DOE25'!K216:K219)+SUM('DOE25'!K234:K237)</f>
        <v>7633</v>
      </c>
      <c r="I5" s="254"/>
    </row>
    <row r="6" spans="1:9" x14ac:dyDescent="0.2">
      <c r="A6" s="32">
        <v>2100</v>
      </c>
      <c r="B6" t="s">
        <v>796</v>
      </c>
      <c r="C6" s="273">
        <f t="shared" si="0"/>
        <v>1969966</v>
      </c>
      <c r="D6" s="20">
        <f>'DOE25'!L203+'DOE25'!L221+'DOE25'!L239-F6-G6-H6</f>
        <v>1904533</v>
      </c>
      <c r="E6" s="243"/>
      <c r="F6" s="244">
        <v>63448</v>
      </c>
      <c r="G6" s="53">
        <f>'DOE25'!J203+'DOE25'!J221+'DOE25'!J239</f>
        <v>1506</v>
      </c>
      <c r="H6" s="53">
        <f>'DOE25'!K203+'DOE25'!K221+'DOE25'!K239</f>
        <v>479</v>
      </c>
      <c r="I6" s="254"/>
    </row>
    <row r="7" spans="1:9" x14ac:dyDescent="0.2">
      <c r="A7" s="32">
        <v>2200</v>
      </c>
      <c r="B7" t="s">
        <v>821</v>
      </c>
      <c r="C7" s="273">
        <f t="shared" si="0"/>
        <v>1815094</v>
      </c>
      <c r="D7" s="20">
        <f>'DOE25'!L204+'DOE25'!L222+'DOE25'!L240-F7-G7-H7</f>
        <v>1448724</v>
      </c>
      <c r="E7" s="243"/>
      <c r="F7" s="244"/>
      <c r="G7" s="53">
        <f>'DOE25'!J204+'DOE25'!J222+'DOE25'!J240</f>
        <v>365720</v>
      </c>
      <c r="H7" s="53">
        <f>'DOE25'!K204+'DOE25'!K222+'DOE25'!K240</f>
        <v>650</v>
      </c>
      <c r="I7" s="254"/>
    </row>
    <row r="8" spans="1:9" x14ac:dyDescent="0.2">
      <c r="A8" s="32">
        <v>2300</v>
      </c>
      <c r="B8" t="s">
        <v>797</v>
      </c>
      <c r="C8" s="273">
        <f t="shared" si="0"/>
        <v>508359</v>
      </c>
      <c r="D8" s="243"/>
      <c r="E8" s="20">
        <f>'DOE25'!L205+'DOE25'!L223+'DOE25'!L241-F8-G8-H8-D9-D11</f>
        <v>500266</v>
      </c>
      <c r="F8" s="244"/>
      <c r="G8" s="53">
        <f>'DOE25'!J205+'DOE25'!J223+'DOE25'!J241</f>
        <v>0</v>
      </c>
      <c r="H8" s="53">
        <f>'DOE25'!K205+'DOE25'!K223+'DOE25'!K241</f>
        <v>8093</v>
      </c>
      <c r="I8" s="254"/>
    </row>
    <row r="9" spans="1:9" ht="14.25" x14ac:dyDescent="0.2">
      <c r="A9" s="32">
        <v>2310</v>
      </c>
      <c r="B9" s="185" t="s">
        <v>888</v>
      </c>
      <c r="C9" s="273">
        <f t="shared" si="0"/>
        <v>180831</v>
      </c>
      <c r="D9" s="244">
        <v>180831</v>
      </c>
      <c r="E9" s="243"/>
      <c r="F9" s="251"/>
      <c r="G9" s="251"/>
      <c r="H9" s="251"/>
      <c r="I9" s="254"/>
    </row>
    <row r="10" spans="1:9" ht="14.25" x14ac:dyDescent="0.2">
      <c r="A10" s="32">
        <v>2317</v>
      </c>
      <c r="B10" s="185" t="s">
        <v>889</v>
      </c>
      <c r="C10" s="273">
        <f t="shared" si="0"/>
        <v>20650</v>
      </c>
      <c r="D10" s="243"/>
      <c r="E10" s="244">
        <v>20650</v>
      </c>
      <c r="F10" s="251"/>
      <c r="G10" s="251"/>
      <c r="H10" s="251"/>
      <c r="I10" s="254"/>
    </row>
    <row r="11" spans="1:9" ht="14.25" x14ac:dyDescent="0.2">
      <c r="A11" s="32">
        <v>2321</v>
      </c>
      <c r="B11" s="185" t="s">
        <v>890</v>
      </c>
      <c r="C11" s="273">
        <f t="shared" si="0"/>
        <v>381498</v>
      </c>
      <c r="D11" s="244">
        <v>381498</v>
      </c>
      <c r="E11" s="243"/>
      <c r="F11" s="251"/>
      <c r="G11" s="251"/>
      <c r="H11" s="251"/>
      <c r="I11" s="254"/>
    </row>
    <row r="12" spans="1:9" x14ac:dyDescent="0.2">
      <c r="A12" s="32">
        <v>2400</v>
      </c>
      <c r="B12" t="s">
        <v>711</v>
      </c>
      <c r="C12" s="273">
        <f t="shared" si="0"/>
        <v>1238053</v>
      </c>
      <c r="D12" s="20">
        <f>'DOE25'!L206+'DOE25'!L224+'DOE25'!L242-F12-G12-H12</f>
        <v>1226974</v>
      </c>
      <c r="E12" s="243"/>
      <c r="F12" s="244"/>
      <c r="G12" s="53">
        <f>'DOE25'!J206+'DOE25'!J224+'DOE25'!J242</f>
        <v>651</v>
      </c>
      <c r="H12" s="53">
        <f>'DOE25'!K206+'DOE25'!K224+'DOE25'!K242</f>
        <v>10428</v>
      </c>
      <c r="I12" s="254"/>
    </row>
    <row r="13" spans="1:9" x14ac:dyDescent="0.2">
      <c r="A13" s="32">
        <v>2500</v>
      </c>
      <c r="B13" t="s">
        <v>798</v>
      </c>
      <c r="C13" s="273">
        <f t="shared" si="0"/>
        <v>11231</v>
      </c>
      <c r="D13" s="243"/>
      <c r="E13" s="20">
        <f>'DOE25'!L207+'DOE25'!L225+'DOE25'!L243-F13-G13-H13</f>
        <v>304</v>
      </c>
      <c r="F13" s="244"/>
      <c r="G13" s="53">
        <f>'DOE25'!J207+'DOE25'!J225+'DOE25'!J243</f>
        <v>10927</v>
      </c>
      <c r="H13" s="53">
        <f>'DOE25'!K207+'DOE25'!K225+'DOE25'!K243</f>
        <v>0</v>
      </c>
      <c r="I13" s="254"/>
    </row>
    <row r="14" spans="1:9" x14ac:dyDescent="0.2">
      <c r="A14" s="32">
        <v>2600</v>
      </c>
      <c r="B14" t="s">
        <v>819</v>
      </c>
      <c r="C14" s="273">
        <f t="shared" si="0"/>
        <v>3359586</v>
      </c>
      <c r="D14" s="20">
        <f>'DOE25'!L208+'DOE25'!L226+'DOE25'!L244-F14-G14-H14</f>
        <v>2503558</v>
      </c>
      <c r="E14" s="243"/>
      <c r="F14" s="244">
        <v>107340</v>
      </c>
      <c r="G14" s="53">
        <f>'DOE25'!J208+'DOE25'!J226+'DOE25'!J244</f>
        <v>748580</v>
      </c>
      <c r="H14" s="53">
        <f>'DOE25'!K208+'DOE25'!K226+'DOE25'!K244</f>
        <v>108</v>
      </c>
      <c r="I14" s="254"/>
    </row>
    <row r="15" spans="1:9" x14ac:dyDescent="0.2">
      <c r="A15" s="32">
        <v>2700</v>
      </c>
      <c r="B15" t="s">
        <v>799</v>
      </c>
      <c r="C15" s="273">
        <f t="shared" si="0"/>
        <v>1347916</v>
      </c>
      <c r="D15" s="20">
        <f>'DOE25'!L209+'DOE25'!L227+'DOE25'!L245-F15-G15-H15</f>
        <v>158977</v>
      </c>
      <c r="E15" s="243"/>
      <c r="F15" s="244">
        <v>1188939</v>
      </c>
      <c r="G15" s="53">
        <f>'DOE25'!J209+'DOE25'!J227+'DOE25'!J245</f>
        <v>0</v>
      </c>
      <c r="H15" s="53">
        <f>'DOE25'!K209+'DOE25'!K227+'DOE25'!K245</f>
        <v>0</v>
      </c>
      <c r="I15" s="254"/>
    </row>
    <row r="16" spans="1:9" x14ac:dyDescent="0.2">
      <c r="A16" s="32">
        <v>2800</v>
      </c>
      <c r="B16" t="s">
        <v>800</v>
      </c>
      <c r="C16" s="273">
        <f t="shared" si="0"/>
        <v>1192096</v>
      </c>
      <c r="D16" s="243"/>
      <c r="E16" s="20">
        <f>'DOE25'!L210+'DOE25'!L228+'DOE25'!L246-F16-G16-H16</f>
        <v>1192096</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373672</v>
      </c>
      <c r="D29" s="281">
        <f>'DOE25'!L359+'DOE25'!L360+'DOE25'!L361-'DOE25'!I368-F29-G29-H29</f>
        <v>142109</v>
      </c>
      <c r="E29" s="243"/>
      <c r="F29" s="244">
        <v>230693</v>
      </c>
      <c r="G29" s="53">
        <f>'DOE25'!J359+'DOE25'!J360+'DOE25'!J361</f>
        <v>0</v>
      </c>
      <c r="H29" s="53">
        <f>'DOE25'!K359+'DOE25'!K360+'DOE25'!K361</f>
        <v>870</v>
      </c>
      <c r="I29" s="254"/>
    </row>
    <row r="30" spans="1:9" x14ac:dyDescent="0.2">
      <c r="A30" s="32"/>
      <c r="C30" s="274"/>
      <c r="D30" s="20"/>
      <c r="E30" s="278"/>
      <c r="F30" s="268"/>
      <c r="G30" s="53"/>
      <c r="H30" s="53"/>
      <c r="I30" s="254"/>
    </row>
    <row r="31" spans="1:9" x14ac:dyDescent="0.2">
      <c r="A31" s="32" t="s">
        <v>818</v>
      </c>
      <c r="B31" t="s">
        <v>817</v>
      </c>
      <c r="C31" s="273">
        <f>SUM(D31:I31)</f>
        <v>890510</v>
      </c>
      <c r="D31" s="20">
        <f>'DOE25'!L291+'DOE25'!L310+'DOE25'!L329+'DOE25'!L334+'DOE25'!L335+'DOE25'!L336-F31-G31-H31</f>
        <v>736066</v>
      </c>
      <c r="E31" s="243"/>
      <c r="F31" s="244"/>
      <c r="G31" s="53">
        <f>'DOE25'!J291+'DOE25'!J310+'DOE25'!J329+'DOE25'!J334+'DOE25'!J335+'DOE25'!J336</f>
        <v>120313</v>
      </c>
      <c r="H31" s="53">
        <f>'DOE25'!K291+'DOE25'!K310+'DOE25'!K329+'DOE25'!K334+'DOE25'!K335+'DOE25'!K336</f>
        <v>34131</v>
      </c>
      <c r="I31" s="254"/>
    </row>
    <row r="32" spans="1:9" ht="12" thickBot="1" x14ac:dyDescent="0.25">
      <c r="C32" s="274"/>
      <c r="G32" s="249"/>
      <c r="H32" s="249"/>
      <c r="I32" s="256"/>
    </row>
    <row r="33" spans="1:9" ht="12" thickTop="1" x14ac:dyDescent="0.2">
      <c r="B33" t="s">
        <v>809</v>
      </c>
      <c r="D33" s="245">
        <f t="shared" ref="D33:I33" si="1">SUM(D5:D31)</f>
        <v>22403332</v>
      </c>
      <c r="E33" s="245">
        <f t="shared" si="1"/>
        <v>1713316</v>
      </c>
      <c r="F33" s="245">
        <f t="shared" si="1"/>
        <v>1723278</v>
      </c>
      <c r="G33" s="245">
        <f t="shared" si="1"/>
        <v>1291316</v>
      </c>
      <c r="H33" s="245">
        <f t="shared" si="1"/>
        <v>62392</v>
      </c>
      <c r="I33" s="245">
        <f t="shared" si="1"/>
        <v>0</v>
      </c>
    </row>
    <row r="35" spans="1:9" ht="12" thickBot="1" x14ac:dyDescent="0.25">
      <c r="B35" s="249" t="s">
        <v>831</v>
      </c>
      <c r="D35" s="250">
        <f>E33</f>
        <v>1713316</v>
      </c>
      <c r="E35" s="246"/>
      <c r="F35" s="333" t="s">
        <v>1632</v>
      </c>
      <c r="G35" s="334"/>
      <c r="H35" s="334"/>
      <c r="I35" s="334"/>
    </row>
    <row r="36" spans="1:9" ht="12" thickTop="1" x14ac:dyDescent="0.2">
      <c r="B36" t="s">
        <v>810</v>
      </c>
      <c r="D36" s="20">
        <f>D33</f>
        <v>22403332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7" sqref="I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INTER-LAKES SCHOOL DISTRICT</v>
      </c>
      <c r="B2" s="126">
        <f>'DOE25'!B2</f>
        <v>269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18028322</v>
      </c>
      <c r="G4" s="300">
        <f>'DOE25'!L212+'DOE25'!L291</f>
        <v>18028322</v>
      </c>
      <c r="H4" s="353">
        <f>F4-G4</f>
        <v>0</v>
      </c>
      <c r="I4" s="371" t="str">
        <f>IF(H4=0,"","ISSUES!! Please review page 7 and 11 totals in comparison with total on this page")</f>
        <v/>
      </c>
      <c r="N4"/>
    </row>
    <row r="5" spans="1:18" x14ac:dyDescent="0.2">
      <c r="A5" s="21" t="s">
        <v>1139</v>
      </c>
      <c r="B5" s="301">
        <f>IFERROR(VLOOKUP(A5,'School Tables'!$C$3:$D$365,2,FALSE),"")</f>
        <v>29200</v>
      </c>
      <c r="C5" s="294" t="str">
        <f>IFERROR(INDEX('School Tables'!$B$3:$B$365,MATCH('School Level Expenditures'!B5,'School Tables'!$D$3:$D$365,0)),"")</f>
        <v>Inter-Lakes Cooperative</v>
      </c>
      <c r="D5" s="291">
        <v>15127806</v>
      </c>
      <c r="E5" s="291">
        <v>659161</v>
      </c>
      <c r="F5" s="304">
        <f>D5+E5</f>
        <v>15786967</v>
      </c>
      <c r="G5" s="294"/>
      <c r="H5" s="294"/>
      <c r="I5" s="372"/>
      <c r="N5"/>
    </row>
    <row r="6" spans="1:18" x14ac:dyDescent="0.2">
      <c r="A6" s="21" t="s">
        <v>1142</v>
      </c>
      <c r="B6" s="301">
        <f>IFERROR(VLOOKUP(A6,'School Tables'!$C$3:$D$365,2,FALSE),"")</f>
        <v>20040</v>
      </c>
      <c r="C6" s="294" t="str">
        <f>IFERROR(INDEX('School Tables'!$B$3:$B$365,MATCH('School Level Expenditures'!B6,'School Tables'!$D$3:$D$365,0)),"")</f>
        <v>Inter-Lakes Cooperative</v>
      </c>
      <c r="D6" s="291">
        <v>2194396</v>
      </c>
      <c r="E6" s="291">
        <v>46959</v>
      </c>
      <c r="F6" s="304">
        <f t="shared" ref="F6:F20" si="0">D6+E6</f>
        <v>2241355</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17322202</v>
      </c>
      <c r="E21" s="351">
        <f>SUM(E5:E20)</f>
        <v>706120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8770990</v>
      </c>
      <c r="G36" s="300">
        <f>'DOE25'!L248+'DOE25'!L329</f>
        <v>8770990</v>
      </c>
      <c r="H36" s="353">
        <f>IF(AND(D43='DOE25'!L248,'School Level Expenditures'!E43='DOE25'!L329),'School Level Expenditures'!F36-'School Level Expenditures'!G36,"Does not match page 7 or 11 totals!!")</f>
        <v>0</v>
      </c>
      <c r="I36" s="371" t="str">
        <f>IF(H36=0,"","ISSUES!! Please review page 9 and 13 totals in comparison with total on this page")</f>
        <v/>
      </c>
      <c r="N36"/>
    </row>
    <row r="37" spans="1:14" x14ac:dyDescent="0.2">
      <c r="A37" s="21" t="s">
        <v>1141</v>
      </c>
      <c r="B37" s="301">
        <f>IFERROR(VLOOKUP(A37,'School Tables'!$O$3:$P$118,2,FALSE),"")</f>
        <v>20035</v>
      </c>
      <c r="C37" s="294" t="str">
        <f t="array" ref="C37">IFERROR(INDEX('School Tables'!$N$3:$N$118,MATCH('School Level Expenditures'!B37,'School Tables'!$P$3:$P$118,0)),"")</f>
        <v>Inter-Lakes Cooperative</v>
      </c>
      <c r="D37" s="291">
        <v>8586600</v>
      </c>
      <c r="E37" s="291">
        <v>184390</v>
      </c>
      <c r="F37" s="304">
        <f t="shared" ref="F37:F42" si="2">D37+E37</f>
        <v>8770990</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8586600</v>
      </c>
      <c r="E43" s="352">
        <f>SUM(E37:E42)</f>
        <v>184390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INTER-LAKES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2803279</v>
      </c>
      <c r="D8" s="95">
        <f>'DOE25'!G9</f>
        <v>0</v>
      </c>
      <c r="E8" s="95">
        <f>'DOE25'!H9</f>
        <v>0</v>
      </c>
      <c r="F8" s="95">
        <f>'DOE25'!I9</f>
        <v>3231</v>
      </c>
      <c r="G8" s="95">
        <f>'DOE25'!J9</f>
        <v>1092759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286148</v>
      </c>
      <c r="D10" s="24" t="s">
        <v>288</v>
      </c>
      <c r="E10" s="24" t="s">
        <v>288</v>
      </c>
      <c r="F10" s="24" t="s">
        <v>288</v>
      </c>
      <c r="G10" s="24" t="s">
        <v>288</v>
      </c>
      <c r="H10" s="124"/>
      <c r="I10" s="124"/>
    </row>
    <row r="11" spans="1:9" x14ac:dyDescent="0.2">
      <c r="A11" s="1" t="s">
        <v>142</v>
      </c>
      <c r="B11" s="6">
        <v>130</v>
      </c>
      <c r="C11" s="95">
        <f>'DOE25'!F12</f>
        <v>2011306</v>
      </c>
      <c r="D11" s="95">
        <f>'DOE25'!G12</f>
        <v>392416</v>
      </c>
      <c r="E11" s="95">
        <f>'DOE25'!H12</f>
        <v>961622</v>
      </c>
      <c r="F11" s="95">
        <f>'DOE25'!I12</f>
        <v>0</v>
      </c>
      <c r="G11" s="95">
        <f>'DOE25'!J12</f>
        <v>0</v>
      </c>
      <c r="H11" s="124"/>
      <c r="I11" s="124"/>
    </row>
    <row r="12" spans="1:9" x14ac:dyDescent="0.2">
      <c r="A12" s="1" t="s">
        <v>143</v>
      </c>
      <c r="B12" s="6">
        <v>140</v>
      </c>
      <c r="C12" s="95">
        <f>'DOE25'!F13</f>
        <v>22582</v>
      </c>
      <c r="D12" s="95">
        <f>'DOE25'!G13</f>
        <v>39235</v>
      </c>
      <c r="E12" s="95">
        <f>'DOE25'!H13</f>
        <v>76739</v>
      </c>
      <c r="F12" s="95">
        <f>'DOE25'!I13</f>
        <v>0</v>
      </c>
      <c r="G12" s="95">
        <f>'DOE25'!J13</f>
        <v>0</v>
      </c>
      <c r="H12" s="124"/>
      <c r="I12" s="124"/>
    </row>
    <row r="13" spans="1:9" x14ac:dyDescent="0.2">
      <c r="A13" s="1" t="s">
        <v>144</v>
      </c>
      <c r="B13" s="6">
        <v>150</v>
      </c>
      <c r="C13" s="95">
        <f>'DOE25'!F14</f>
        <v>7552</v>
      </c>
      <c r="D13" s="95">
        <f>'DOE25'!G14</f>
        <v>9699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21373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5152240</v>
      </c>
      <c r="D18" s="41">
        <f>SUM(D8:D17)</f>
        <v>441350</v>
      </c>
      <c r="E18" s="41">
        <f>SUM(E8:E17)</f>
        <v>1038361</v>
      </c>
      <c r="F18" s="41">
        <f>SUM(F8:F17)</f>
        <v>3231</v>
      </c>
      <c r="G18" s="41">
        <f>SUM(G8:G17)</f>
        <v>1092759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2018652</v>
      </c>
      <c r="D21" s="95">
        <f>'DOE25'!G22</f>
        <v>386352</v>
      </c>
      <c r="E21" s="95">
        <f>'DOE25'!H22</f>
        <v>923005</v>
      </c>
      <c r="F21" s="95">
        <f>'DOE25'!I22</f>
        <v>0</v>
      </c>
      <c r="G21" s="95">
        <f>'DOE25'!J22</f>
        <v>0</v>
      </c>
      <c r="H21" s="124"/>
      <c r="I21" s="124"/>
    </row>
    <row r="22" spans="1:9" x14ac:dyDescent="0.2">
      <c r="A22" s="1" t="s">
        <v>151</v>
      </c>
      <c r="B22" s="6">
        <v>410</v>
      </c>
      <c r="C22" s="95">
        <f>'DOE25'!F23</f>
        <v>1015</v>
      </c>
      <c r="D22" s="95">
        <f>'DOE25'!G23</f>
        <v>0</v>
      </c>
      <c r="E22" s="95">
        <f>'DOE25'!H23</f>
        <v>3633</v>
      </c>
      <c r="F22" s="95">
        <f>'DOE25'!I23</f>
        <v>0</v>
      </c>
      <c r="G22" s="95">
        <f>'DOE25'!J23</f>
        <v>0</v>
      </c>
      <c r="H22" s="124"/>
      <c r="I22" s="124"/>
    </row>
    <row r="23" spans="1:9" x14ac:dyDescent="0.2">
      <c r="A23" s="1" t="s">
        <v>152</v>
      </c>
      <c r="B23" s="6">
        <v>420</v>
      </c>
      <c r="C23" s="95">
        <f>'DOE25'!F24</f>
        <v>764239</v>
      </c>
      <c r="D23" s="95">
        <f>'DOE25'!G24</f>
        <v>505</v>
      </c>
      <c r="E23" s="95">
        <f>'DOE25'!H24</f>
        <v>1790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40111</v>
      </c>
      <c r="D27" s="95">
        <f>'DOE25'!G28</f>
        <v>0</v>
      </c>
      <c r="E27" s="95">
        <f>'DOE25'!H28</f>
        <v>0</v>
      </c>
      <c r="F27" s="95">
        <f>'DOE25'!I28</f>
        <v>0</v>
      </c>
      <c r="G27" s="24" t="s">
        <v>288</v>
      </c>
      <c r="H27" s="124"/>
      <c r="I27" s="124"/>
    </row>
    <row r="28" spans="1:9" x14ac:dyDescent="0.2">
      <c r="A28" s="1" t="s">
        <v>157</v>
      </c>
      <c r="B28" s="6">
        <v>470</v>
      </c>
      <c r="C28" s="95">
        <f>'DOE25'!F29</f>
        <v>23866</v>
      </c>
      <c r="D28" s="95">
        <f>'DOE25'!G29</f>
        <v>0</v>
      </c>
      <c r="E28" s="95">
        <f>'DOE25'!H29</f>
        <v>0</v>
      </c>
      <c r="F28" s="95">
        <f>'DOE25'!I29</f>
        <v>0</v>
      </c>
      <c r="G28" s="24" t="s">
        <v>288</v>
      </c>
      <c r="H28" s="124"/>
      <c r="I28" s="124"/>
    </row>
    <row r="29" spans="1:9" x14ac:dyDescent="0.2">
      <c r="A29" s="1" t="s">
        <v>158</v>
      </c>
      <c r="B29" s="6">
        <v>480</v>
      </c>
      <c r="C29" s="95">
        <f>'DOE25'!F30</f>
        <v>3000</v>
      </c>
      <c r="D29" s="95">
        <f>'DOE25'!G30</f>
        <v>14040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2850883</v>
      </c>
      <c r="D31" s="41">
        <f>SUM(D21:D30)</f>
        <v>400897</v>
      </c>
      <c r="E31" s="41">
        <f>SUM(E21:E30)</f>
        <v>928428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506793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40453</v>
      </c>
      <c r="E47" s="95">
        <f>'DOE25'!H48</f>
        <v>109933</v>
      </c>
      <c r="F47" s="95">
        <f>'DOE25'!I48</f>
        <v>3231</v>
      </c>
      <c r="G47" s="95">
        <f>'DOE25'!J48</f>
        <v>1092759</v>
      </c>
      <c r="H47" s="124"/>
      <c r="I47" s="124"/>
    </row>
    <row r="48" spans="1:9" x14ac:dyDescent="0.2">
      <c r="A48" s="1" t="s">
        <v>882</v>
      </c>
      <c r="B48" s="6">
        <v>753</v>
      </c>
      <c r="C48" s="95">
        <f>'DOE25'!F49</f>
        <v>1079203</v>
      </c>
      <c r="D48" s="95">
        <f>'DOE25'!G49</f>
        <v>0</v>
      </c>
      <c r="E48" s="95">
        <f>'DOE25'!H49</f>
        <v>0</v>
      </c>
      <c r="F48" s="95">
        <f>'DOE25'!I49</f>
        <v>0</v>
      </c>
      <c r="G48" s="95">
        <f>'DOE25'!J49</f>
        <v>0</v>
      </c>
      <c r="H48" s="124"/>
      <c r="I48" s="124"/>
    </row>
    <row r="49" spans="1:9" ht="12" thickBot="1" x14ac:dyDescent="0.25">
      <c r="A49" s="29" t="s">
        <v>883</v>
      </c>
      <c r="B49" s="71">
        <v>770</v>
      </c>
      <c r="C49" s="95">
        <f>'DOE25'!F50</f>
        <v>540361</v>
      </c>
      <c r="D49" s="24" t="s">
        <v>288</v>
      </c>
      <c r="E49" s="24" t="s">
        <v>288</v>
      </c>
      <c r="F49" s="24" t="s">
        <v>288</v>
      </c>
      <c r="G49" s="24" t="s">
        <v>288</v>
      </c>
      <c r="H49" s="124"/>
      <c r="I49" s="124"/>
    </row>
    <row r="50" spans="1:9" ht="12.75" thickTop="1" thickBot="1" x14ac:dyDescent="0.25">
      <c r="A50" s="38" t="s">
        <v>884</v>
      </c>
      <c r="B50" s="48"/>
      <c r="C50" s="41">
        <f>SUM(C34:C49)</f>
        <v>2301357</v>
      </c>
      <c r="D50" s="41">
        <f>SUM(D34:D49)</f>
        <v>40453</v>
      </c>
      <c r="E50" s="41">
        <f>SUM(E34:E49)</f>
        <v>109933</v>
      </c>
      <c r="F50" s="41">
        <f>SUM(F34:F49)</f>
        <v>3231</v>
      </c>
      <c r="G50" s="41">
        <f>SUM(G34:G49)</f>
        <v>1092759</v>
      </c>
      <c r="H50" s="124"/>
      <c r="I50" s="124"/>
    </row>
    <row r="51" spans="1:9" ht="12" thickTop="1" x14ac:dyDescent="0.2">
      <c r="A51" s="38" t="s">
        <v>885</v>
      </c>
      <c r="B51" s="2"/>
      <c r="C51" s="41">
        <f>C50+C31</f>
        <v>5152240</v>
      </c>
      <c r="D51" s="41">
        <f>D50+D31</f>
        <v>441350</v>
      </c>
      <c r="E51" s="41">
        <f>E50+E31</f>
        <v>1038361</v>
      </c>
      <c r="F51" s="41">
        <f>F50+F31</f>
        <v>3231</v>
      </c>
      <c r="G51" s="41">
        <f>G50+G31</f>
        <v>1092759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20975939</v>
      </c>
      <c r="D56" s="95">
        <f>'DOE25'!G60</f>
        <v>0</v>
      </c>
      <c r="E56" s="95">
        <f>'DOE25'!H60</f>
        <v>0</v>
      </c>
      <c r="F56" s="95">
        <f>'DOE25'!I60</f>
        <v>0</v>
      </c>
      <c r="G56" s="95">
        <f>'DOE25'!J60</f>
        <v>0</v>
      </c>
      <c r="H56"/>
      <c r="I56"/>
    </row>
    <row r="57" spans="1:9" x14ac:dyDescent="0.2">
      <c r="A57" s="1" t="s">
        <v>164</v>
      </c>
      <c r="B57" s="6" t="s">
        <v>165</v>
      </c>
      <c r="C57" s="95">
        <f>'DOE25'!F79</f>
        <v>46561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1154</v>
      </c>
      <c r="D59" s="95">
        <f>'DOE25'!G96</f>
        <v>0</v>
      </c>
      <c r="E59" s="95">
        <f>'DOE25'!H96</f>
        <v>0</v>
      </c>
      <c r="F59" s="95">
        <f>'DOE25'!I96</f>
        <v>0</v>
      </c>
      <c r="G59" s="95">
        <f>'DOE25'!J96</f>
        <v>5953</v>
      </c>
      <c r="H59"/>
      <c r="I59"/>
    </row>
    <row r="60" spans="1:9" x14ac:dyDescent="0.2">
      <c r="A60" s="1" t="s">
        <v>170</v>
      </c>
      <c r="B60" s="118" t="s">
        <v>171</v>
      </c>
      <c r="C60" s="24" t="s">
        <v>288</v>
      </c>
      <c r="D60" s="95">
        <f>'DOE25'!G97</f>
        <v>20046</v>
      </c>
      <c r="E60" s="24" t="s">
        <v>288</v>
      </c>
      <c r="F60" s="24" t="s">
        <v>288</v>
      </c>
      <c r="G60" s="24" t="s">
        <v>288</v>
      </c>
      <c r="H60"/>
      <c r="I60"/>
    </row>
    <row r="61" spans="1:9" ht="12" thickBot="1" x14ac:dyDescent="0.25">
      <c r="A61" s="1" t="s">
        <v>172</v>
      </c>
      <c r="B61" s="118" t="s">
        <v>173</v>
      </c>
      <c r="C61" s="95">
        <f>SUM('DOE25'!F98:F110)</f>
        <v>22379</v>
      </c>
      <c r="D61" s="95">
        <f>SUM('DOE25'!G98:G110)</f>
        <v>0</v>
      </c>
      <c r="E61" s="95">
        <f>SUM('DOE25'!H98:H110)</f>
        <v>48651</v>
      </c>
      <c r="F61" s="95">
        <f>SUM('DOE25'!I98:I110)</f>
        <v>0</v>
      </c>
      <c r="G61" s="95">
        <f>SUM('DOE25'!J98:J110)</f>
        <v>0</v>
      </c>
      <c r="H61"/>
      <c r="I61"/>
    </row>
    <row r="62" spans="1:9" ht="12.75" thickTop="1" thickBot="1" x14ac:dyDescent="0.25">
      <c r="A62" s="29" t="s">
        <v>174</v>
      </c>
      <c r="B62" s="6"/>
      <c r="C62" s="130">
        <f>SUM(C57:C61)</f>
        <v>70094</v>
      </c>
      <c r="D62" s="130">
        <f>SUM(D57:D61)</f>
        <v>20046</v>
      </c>
      <c r="E62" s="130">
        <f>SUM(E57:E61)</f>
        <v>48651</v>
      </c>
      <c r="F62" s="130">
        <f>SUM(F57:F61)</f>
        <v>0</v>
      </c>
      <c r="G62" s="130">
        <f>SUM(G57:G61)</f>
        <v>5953</v>
      </c>
      <c r="H62"/>
      <c r="I62"/>
    </row>
    <row r="63" spans="1:9" ht="12" thickTop="1" x14ac:dyDescent="0.2">
      <c r="A63" s="29" t="s">
        <v>175</v>
      </c>
      <c r="B63" s="6"/>
      <c r="C63" s="22">
        <f>C56+C62</f>
        <v>21046033</v>
      </c>
      <c r="D63" s="22">
        <f>D56+D62</f>
        <v>20046</v>
      </c>
      <c r="E63" s="22">
        <f>E56+E62</f>
        <v>48651</v>
      </c>
      <c r="F63" s="22">
        <f>F56+F62</f>
        <v>0</v>
      </c>
      <c r="G63" s="22">
        <f>G56+G62</f>
        <v>5953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6053003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6053003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106779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42084</v>
      </c>
      <c r="D75" s="24" t="s">
        <v>288</v>
      </c>
      <c r="E75" s="24" t="s">
        <v>288</v>
      </c>
      <c r="F75" s="24" t="s">
        <v>288</v>
      </c>
      <c r="G75" s="24" t="s">
        <v>288</v>
      </c>
      <c r="H75"/>
      <c r="I75"/>
    </row>
    <row r="76" spans="1:9" x14ac:dyDescent="0.2">
      <c r="A76" s="1" t="s">
        <v>257</v>
      </c>
      <c r="B76" s="6" t="s">
        <v>179</v>
      </c>
      <c r="C76" s="95">
        <f>SUM('DOE25'!F127:F130)</f>
        <v>8858</v>
      </c>
      <c r="D76" s="24" t="s">
        <v>288</v>
      </c>
      <c r="E76" s="95">
        <f>SUM('DOE25'!H127:H130)</f>
        <v>23354</v>
      </c>
      <c r="F76" s="95">
        <f>SUM('DOE25'!I127:I130)</f>
        <v>0</v>
      </c>
      <c r="G76" s="24" t="s">
        <v>288</v>
      </c>
      <c r="H76"/>
      <c r="I76"/>
    </row>
    <row r="77" spans="1:9" ht="12" thickBot="1" x14ac:dyDescent="0.25">
      <c r="A77" s="1" t="s">
        <v>258</v>
      </c>
      <c r="B77" s="6" t="s">
        <v>180</v>
      </c>
      <c r="C77" s="95">
        <f>SUM('DOE25'!F131:F135)</f>
        <v>0</v>
      </c>
      <c r="D77" s="95">
        <f>SUM('DOE25'!G131:G135)</f>
        <v>7448</v>
      </c>
      <c r="E77" s="95">
        <f>SUM('DOE25'!H131:H135)</f>
        <v>28897</v>
      </c>
      <c r="F77" s="95">
        <f>SUM('DOE25'!I131:I135)</f>
        <v>0</v>
      </c>
      <c r="G77" s="95">
        <f>SUM('DOE25'!J131:J135)</f>
        <v>0</v>
      </c>
      <c r="H77"/>
      <c r="I77"/>
    </row>
    <row r="78" spans="1:9" ht="12.75" thickTop="1" thickBot="1" x14ac:dyDescent="0.25">
      <c r="A78" s="29" t="s">
        <v>259</v>
      </c>
      <c r="B78" s="6"/>
      <c r="C78" s="130">
        <f>SUM(C72:C77)</f>
        <v>157721</v>
      </c>
      <c r="D78" s="130">
        <f>SUM(D72:D77)</f>
        <v>7448</v>
      </c>
      <c r="E78" s="130">
        <f>SUM(E72:E77)</f>
        <v>52251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6210724</v>
      </c>
      <c r="D81" s="130">
        <f>SUM(D79:D80)+D78+D70</f>
        <v>7448</v>
      </c>
      <c r="E81" s="130">
        <f>SUM(E79:E80)+E78+E70</f>
        <v>52251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184002</v>
      </c>
      <c r="D88" s="331">
        <f>SUM('DOE25'!G153:G162)</f>
        <v>338493</v>
      </c>
      <c r="E88" s="331">
        <f>SUM('DOE25'!H153:H162)</f>
        <v>815867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7259</v>
      </c>
      <c r="D90" s="24" t="s">
        <v>288</v>
      </c>
      <c r="E90" s="24" t="s">
        <v>288</v>
      </c>
      <c r="F90" s="24" t="s">
        <v>288</v>
      </c>
      <c r="G90" s="24" t="s">
        <v>288</v>
      </c>
    </row>
    <row r="91" spans="1:9" ht="12.75" thickTop="1" thickBot="1" x14ac:dyDescent="0.25">
      <c r="A91" s="33" t="s">
        <v>750</v>
      </c>
      <c r="C91" s="131">
        <f>SUM(C85:C90)</f>
        <v>191261</v>
      </c>
      <c r="D91" s="131">
        <f>SUM(D85:D90)</f>
        <v>338493</v>
      </c>
      <c r="E91" s="131">
        <f>SUM(E85:E90)</f>
        <v>815867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195000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195000</v>
      </c>
    </row>
    <row r="104" spans="1:7" ht="12.75" thickTop="1" thickBot="1" x14ac:dyDescent="0.25">
      <c r="A104" s="33" t="s">
        <v>761</v>
      </c>
      <c r="C104" s="86">
        <f>C63+C81+C91+C103</f>
        <v>27448018</v>
      </c>
      <c r="D104" s="86">
        <f>D63+D81+D91+D103</f>
        <v>365987</v>
      </c>
      <c r="E104" s="86">
        <f>E63+E81+E91+E103</f>
        <v>916769</v>
      </c>
      <c r="F104" s="86">
        <f>F63+F81+F91+F103</f>
        <v>0</v>
      </c>
      <c r="G104" s="86">
        <f>G63+G81+G103</f>
        <v>200953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9335646</v>
      </c>
      <c r="D109" s="24" t="s">
        <v>288</v>
      </c>
      <c r="E109" s="95">
        <f>('DOE25'!L277)+('DOE25'!L296)+('DOE25'!L315)</f>
        <v>492460</v>
      </c>
      <c r="F109" s="24" t="s">
        <v>288</v>
      </c>
      <c r="G109" s="24" t="s">
        <v>288</v>
      </c>
    </row>
    <row r="110" spans="1:7" x14ac:dyDescent="0.2">
      <c r="A110" t="s">
        <v>198</v>
      </c>
      <c r="B110" s="32" t="s">
        <v>199</v>
      </c>
      <c r="C110" s="95">
        <f>('DOE25'!L199)+('DOE25'!L217)+('DOE25'!L235)</f>
        <v>3924297</v>
      </c>
      <c r="D110" s="24" t="s">
        <v>288</v>
      </c>
      <c r="E110" s="95">
        <f>('DOE25'!L278)+('DOE25'!L297)+('DOE25'!L316)</f>
        <v>28086</v>
      </c>
      <c r="F110" s="24" t="s">
        <v>288</v>
      </c>
      <c r="G110" s="24" t="s">
        <v>288</v>
      </c>
    </row>
    <row r="111" spans="1:7" x14ac:dyDescent="0.2">
      <c r="A111" t="s">
        <v>200</v>
      </c>
      <c r="B111" s="32" t="s">
        <v>165</v>
      </c>
      <c r="C111" s="95">
        <f>('DOE25'!L200)+('DOE25'!L218)+('DOE25'!L236)</f>
        <v>114387</v>
      </c>
      <c r="D111" s="24" t="s">
        <v>288</v>
      </c>
      <c r="E111" s="95">
        <f>('DOE25'!L279)+('DOE25'!L298)+('DOE25'!L317)</f>
        <v>0</v>
      </c>
      <c r="F111" s="24" t="s">
        <v>288</v>
      </c>
      <c r="G111" s="24" t="s">
        <v>288</v>
      </c>
    </row>
    <row r="112" spans="1:7" x14ac:dyDescent="0.2">
      <c r="A112" t="s">
        <v>201</v>
      </c>
      <c r="B112" s="32" t="s">
        <v>167</v>
      </c>
      <c r="C112" s="95">
        <f>('DOE25'!L201)+('DOE25'!L219)+('DOE25'!L237)</f>
        <v>529842</v>
      </c>
      <c r="D112" s="24" t="s">
        <v>288</v>
      </c>
      <c r="E112" s="95">
        <f>+('DOE25'!L280)+('DOE25'!L299)+('DOE25'!L318)</f>
        <v>18070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13904172</v>
      </c>
      <c r="D115" s="86">
        <f>SUM(D109:D114)</f>
        <v>0</v>
      </c>
      <c r="E115" s="86">
        <f>SUM(E109:E114)</f>
        <v>538616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1969966</v>
      </c>
      <c r="D118" s="24" t="s">
        <v>288</v>
      </c>
      <c r="E118" s="95">
        <f>+('DOE25'!L282)+('DOE25'!L301)+('DOE25'!L320)</f>
        <v>42130</v>
      </c>
      <c r="F118" s="24" t="s">
        <v>288</v>
      </c>
      <c r="G118" s="24" t="s">
        <v>288</v>
      </c>
    </row>
    <row r="119" spans="1:7" x14ac:dyDescent="0.2">
      <c r="A119" t="s">
        <v>208</v>
      </c>
      <c r="B119" s="32" t="s">
        <v>209</v>
      </c>
      <c r="C119" s="95">
        <f>('DOE25'!L204)+('DOE25'!L222)+('DOE25'!L240)</f>
        <v>1815094</v>
      </c>
      <c r="D119" s="24" t="s">
        <v>288</v>
      </c>
      <c r="E119" s="95">
        <f>+('DOE25'!L283)+('DOE25'!L302)+('DOE25'!L321)</f>
        <v>124516</v>
      </c>
      <c r="F119" s="24" t="s">
        <v>288</v>
      </c>
      <c r="G119" s="24" t="s">
        <v>288</v>
      </c>
    </row>
    <row r="120" spans="1:7" x14ac:dyDescent="0.2">
      <c r="A120" t="s">
        <v>210</v>
      </c>
      <c r="B120" s="32" t="s">
        <v>211</v>
      </c>
      <c r="C120" s="95">
        <f>('DOE25'!L205)+('DOE25'!L223)+('DOE25'!L241)</f>
        <v>1070688</v>
      </c>
      <c r="D120" s="24" t="s">
        <v>288</v>
      </c>
      <c r="E120" s="95">
        <f>+('DOE25'!L284)+('DOE25'!L303)+('DOE25'!L322)</f>
        <v>31177</v>
      </c>
      <c r="F120" s="24" t="s">
        <v>288</v>
      </c>
      <c r="G120" s="24" t="s">
        <v>288</v>
      </c>
    </row>
    <row r="121" spans="1:7" x14ac:dyDescent="0.2">
      <c r="A121" t="s">
        <v>212</v>
      </c>
      <c r="B121" s="32" t="s">
        <v>213</v>
      </c>
      <c r="C121" s="95">
        <f>('DOE25'!L206)+('DOE25'!L224)+('DOE25'!L242)</f>
        <v>1238053</v>
      </c>
      <c r="D121" s="24" t="s">
        <v>288</v>
      </c>
      <c r="E121" s="95">
        <f>+('DOE25'!L285)+('DOE25'!L304)+('DOE25'!L323)</f>
        <v>10871</v>
      </c>
      <c r="F121" s="24" t="s">
        <v>288</v>
      </c>
      <c r="G121" s="24" t="s">
        <v>288</v>
      </c>
    </row>
    <row r="122" spans="1:7" x14ac:dyDescent="0.2">
      <c r="A122" t="s">
        <v>214</v>
      </c>
      <c r="B122" s="32" t="s">
        <v>215</v>
      </c>
      <c r="C122" s="95">
        <f>('DOE25'!L207)+('DOE25'!L225)+('DOE25'!L243)</f>
        <v>11231</v>
      </c>
      <c r="D122" s="24" t="s">
        <v>288</v>
      </c>
      <c r="E122" s="95">
        <f>+('DOE25'!L286)+('DOE25'!L305)+('DOE25'!L324)</f>
        <v>0</v>
      </c>
      <c r="F122" s="24" t="s">
        <v>288</v>
      </c>
      <c r="G122" s="24" t="s">
        <v>288</v>
      </c>
    </row>
    <row r="123" spans="1:7" x14ac:dyDescent="0.2">
      <c r="A123" t="s">
        <v>216</v>
      </c>
      <c r="B123" s="32" t="s">
        <v>217</v>
      </c>
      <c r="C123" s="95">
        <f>('DOE25'!L208)+('DOE25'!L226)+('DOE25'!L244)</f>
        <v>3359586</v>
      </c>
      <c r="D123" s="24" t="s">
        <v>288</v>
      </c>
      <c r="E123" s="95">
        <f>+('DOE25'!L287)+('DOE25'!L306)+('DOE25'!L325)</f>
        <v>131989</v>
      </c>
      <c r="F123" s="24" t="s">
        <v>288</v>
      </c>
      <c r="G123" s="24" t="s">
        <v>288</v>
      </c>
    </row>
    <row r="124" spans="1:7" x14ac:dyDescent="0.2">
      <c r="A124" t="s">
        <v>218</v>
      </c>
      <c r="B124" s="32" t="s">
        <v>219</v>
      </c>
      <c r="C124" s="95">
        <f>('DOE25'!L209)+('DOE25'!L227)+('DOE25'!L245+'DOE25'!L255)</f>
        <v>1347916</v>
      </c>
      <c r="D124" s="24" t="s">
        <v>288</v>
      </c>
      <c r="E124" s="95">
        <f>+('DOE25'!L288)+('DOE25'!L307)+('DOE25'!L326)</f>
        <v>11211</v>
      </c>
      <c r="F124" s="24" t="s">
        <v>288</v>
      </c>
      <c r="G124" s="24" t="s">
        <v>288</v>
      </c>
    </row>
    <row r="125" spans="1:7" x14ac:dyDescent="0.2">
      <c r="A125" t="s">
        <v>220</v>
      </c>
      <c r="B125" s="32" t="s">
        <v>221</v>
      </c>
      <c r="C125" s="95">
        <f>('DOE25'!L210)+('DOE25'!L228)+('DOE25'!L246)</f>
        <v>1192096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373672</v>
      </c>
      <c r="E127" s="24" t="s">
        <v>288</v>
      </c>
      <c r="F127" s="24" t="s">
        <v>288</v>
      </c>
      <c r="G127" s="24" t="s">
        <v>288</v>
      </c>
    </row>
    <row r="128" spans="1:7" ht="12.75" thickTop="1" thickBot="1" x14ac:dyDescent="0.25">
      <c r="A128" s="33" t="s">
        <v>226</v>
      </c>
      <c r="C128" s="86">
        <f>SUM(C118:C127)</f>
        <v>12004630</v>
      </c>
      <c r="D128" s="86">
        <f>SUM(D118:D127)</f>
        <v>373672</v>
      </c>
      <c r="E128" s="86">
        <f>SUM(E118:E127)</f>
        <v>351894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20578</v>
      </c>
      <c r="D138" s="24" t="s">
        <v>288</v>
      </c>
      <c r="E138" s="24" t="s">
        <v>288</v>
      </c>
      <c r="F138" s="24" t="s">
        <v>288</v>
      </c>
      <c r="G138" s="24" t="s">
        <v>288</v>
      </c>
    </row>
    <row r="139" spans="1:7" x14ac:dyDescent="0.2">
      <c r="A139" t="s">
        <v>239</v>
      </c>
      <c r="B139" s="32">
        <v>5252</v>
      </c>
      <c r="C139" s="95">
        <f>'DOE25'!L402</f>
        <v>180375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-5953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195000</v>
      </c>
      <c r="D144" s="141">
        <f>SUM(D130:D143)</f>
        <v>0</v>
      </c>
      <c r="E144" s="141">
        <f>SUM(E130:E143)</f>
        <v>0</v>
      </c>
      <c r="F144" s="141">
        <f>SUM(F130:F143)</f>
        <v>0</v>
      </c>
      <c r="G144" s="141">
        <f>SUM(G130:G143)</f>
        <v>0</v>
      </c>
    </row>
    <row r="145" spans="1:9" ht="12.75" thickTop="1" thickBot="1" x14ac:dyDescent="0.25">
      <c r="A145" s="33" t="s">
        <v>244</v>
      </c>
      <c r="C145" s="86">
        <f>(C115+C128+C144)</f>
        <v>26103802</v>
      </c>
      <c r="D145" s="86">
        <f>(D115+D128+D144)</f>
        <v>373672</v>
      </c>
      <c r="E145" s="86">
        <f>(E115+E128+E144)</f>
        <v>890510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INTER-LAKES SCHOOL DISTRICT</v>
      </c>
    </row>
    <row r="3" spans="1:4" x14ac:dyDescent="0.2">
      <c r="B3" s="188" t="s">
        <v>1666</v>
      </c>
    </row>
    <row r="4" spans="1:4" x14ac:dyDescent="0.2">
      <c r="B4" t="s">
        <v>61</v>
      </c>
      <c r="C4" s="179">
        <f>IF('DOE25'!F666+'DOE25'!F671=0,0,ROUND('DOE25'!F673,0))</f>
        <v>26367</v>
      </c>
    </row>
    <row r="5" spans="1:4" x14ac:dyDescent="0.2">
      <c r="B5" t="s">
        <v>700</v>
      </c>
      <c r="C5" s="179">
        <f>IF('DOE25'!G666+'DOE25'!G671=0,0,ROUND('DOE25'!G673,0))</f>
        <v>0</v>
      </c>
    </row>
    <row r="6" spans="1:4" x14ac:dyDescent="0.2">
      <c r="B6" t="s">
        <v>62</v>
      </c>
      <c r="C6" s="179">
        <f>IF('DOE25'!H666+'DOE25'!H671=0,0,ROUND('DOE25'!H673,0))</f>
        <v>27909</v>
      </c>
    </row>
    <row r="7" spans="1:4" x14ac:dyDescent="0.2">
      <c r="B7" t="s">
        <v>701</v>
      </c>
      <c r="C7" s="179">
        <f>IF('DOE25'!I666+'DOE25'!I671=0,0,ROUND('DOE25'!I673,0))</f>
        <v>26840</v>
      </c>
    </row>
    <row r="9" spans="1:4" x14ac:dyDescent="0.2">
      <c r="A9" s="187" t="s">
        <v>94</v>
      </c>
      <c r="B9" s="188" t="s">
        <v>1671</v>
      </c>
      <c r="C9" s="181" t="s">
        <v>720</v>
      </c>
      <c r="D9" s="181" t="s">
        <v>721</v>
      </c>
    </row>
    <row r="10" spans="1:4" x14ac:dyDescent="0.2">
      <c r="A10">
        <v>1100</v>
      </c>
      <c r="B10" t="s">
        <v>702</v>
      </c>
      <c r="C10" s="179">
        <f>ROUND('DOE25'!L198+'DOE25'!L216+'DOE25'!L234+'DOE25'!L277+'DOE25'!L296+'DOE25'!L315,0)</f>
        <v>9828106</v>
      </c>
      <c r="D10" s="182">
        <f>ROUND((C10/$C$28)*100,1)</f>
        <v>36.200000000000003</v>
      </c>
    </row>
    <row r="11" spans="1:4" x14ac:dyDescent="0.2">
      <c r="A11">
        <v>1200</v>
      </c>
      <c r="B11" t="s">
        <v>703</v>
      </c>
      <c r="C11" s="179">
        <f>ROUND('DOE25'!L199+'DOE25'!L217+'DOE25'!L235+'DOE25'!L278+'DOE25'!L297+'DOE25'!L316,0)</f>
        <v>3952383</v>
      </c>
      <c r="D11" s="182">
        <f>ROUND((C11/$C$28)*100,1)</f>
        <v>14.6</v>
      </c>
    </row>
    <row r="12" spans="1:4" x14ac:dyDescent="0.2">
      <c r="A12">
        <v>1300</v>
      </c>
      <c r="B12" t="s">
        <v>704</v>
      </c>
      <c r="C12" s="179">
        <f>ROUND('DOE25'!L200+'DOE25'!L218+'DOE25'!L236+'DOE25'!L279+'DOE25'!L298+'DOE25'!L317,0)</f>
        <v>114387</v>
      </c>
      <c r="D12" s="182">
        <f>ROUND((C12/$C$28)*100,1)</f>
        <v>0.4</v>
      </c>
    </row>
    <row r="13" spans="1:4" x14ac:dyDescent="0.2">
      <c r="A13">
        <v>1400</v>
      </c>
      <c r="B13" t="s">
        <v>705</v>
      </c>
      <c r="C13" s="179">
        <f>ROUND('DOE25'!L201+'DOE25'!L219+'DOE25'!L237+'DOE25'!L280+'DOE25'!L299+'DOE25'!L318,0)</f>
        <v>547912</v>
      </c>
      <c r="D13" s="182">
        <f>ROUND((C13/$C$28)*100,1)</f>
        <v>2</v>
      </c>
    </row>
    <row r="14" spans="1:4" x14ac:dyDescent="0.2">
      <c r="D14" s="182"/>
    </row>
    <row r="15" spans="1:4" x14ac:dyDescent="0.2">
      <c r="A15">
        <v>2100</v>
      </c>
      <c r="B15" t="s">
        <v>706</v>
      </c>
      <c r="C15" s="179">
        <f>ROUND('DOE25'!L203+'DOE25'!L221+'DOE25'!L239+'DOE25'!L282+'DOE25'!L301+'DOE25'!L320,0)</f>
        <v>2012096</v>
      </c>
      <c r="D15" s="182">
        <f t="shared" ref="D15:D27" si="0">ROUND((C15/$C$28)*100,1)</f>
        <v>7.4</v>
      </c>
    </row>
    <row r="16" spans="1:4" x14ac:dyDescent="0.2">
      <c r="A16">
        <v>2200</v>
      </c>
      <c r="B16" t="s">
        <v>707</v>
      </c>
      <c r="C16" s="179">
        <f>ROUND('DOE25'!L204+'DOE25'!L222+'DOE25'!L240+'DOE25'!L283+'DOE25'!L302+'DOE25'!L321,0)</f>
        <v>1939610</v>
      </c>
      <c r="D16" s="182">
        <f t="shared" si="0"/>
        <v>7.1</v>
      </c>
    </row>
    <row r="17" spans="1:4" x14ac:dyDescent="0.2">
      <c r="A17" s="183" t="s">
        <v>723</v>
      </c>
      <c r="B17" t="s">
        <v>738</v>
      </c>
      <c r="C17" s="179">
        <f>ROUND('DOE25'!L205+'DOE25'!L210+'DOE25'!L223+'DOE25'!L228+'DOE25'!L241+'DOE25'!L246+'DOE25'!L284+'DOE25'!L289+'DOE25'!L303+'DOE25'!L308+'DOE25'!L322+'DOE25'!L327,0)</f>
        <v>2293961</v>
      </c>
      <c r="D17" s="182">
        <f t="shared" si="0"/>
        <v>8.4</v>
      </c>
    </row>
    <row r="18" spans="1:4" x14ac:dyDescent="0.2">
      <c r="A18">
        <v>2400</v>
      </c>
      <c r="B18" t="s">
        <v>711</v>
      </c>
      <c r="C18" s="179">
        <f>ROUND('DOE25'!L206+'DOE25'!L224+'DOE25'!L242+'DOE25'!L285+'DOE25'!L304+'DOE25'!L323,0)</f>
        <v>1248924</v>
      </c>
      <c r="D18" s="182">
        <f t="shared" si="0"/>
        <v>4.5999999999999996</v>
      </c>
    </row>
    <row r="19" spans="1:4" x14ac:dyDescent="0.2">
      <c r="A19">
        <v>2500</v>
      </c>
      <c r="B19" t="s">
        <v>708</v>
      </c>
      <c r="C19" s="179">
        <f>ROUND('DOE25'!L207+'DOE25'!L225+'DOE25'!L243+'DOE25'!L286+'DOE25'!L305+'DOE25'!L324,0)</f>
        <v>11231</v>
      </c>
      <c r="D19" s="182">
        <f t="shared" si="0"/>
        <v>0</v>
      </c>
    </row>
    <row r="20" spans="1:4" x14ac:dyDescent="0.2">
      <c r="A20">
        <v>2600</v>
      </c>
      <c r="B20" t="s">
        <v>709</v>
      </c>
      <c r="C20" s="179">
        <f>ROUND('DOE25'!L208+'DOE25'!L226+'DOE25'!L244+'DOE25'!L287+'DOE25'!L306+'DOE25'!L325,0)</f>
        <v>3491575</v>
      </c>
      <c r="D20" s="182">
        <f t="shared" si="0"/>
        <v>12.9</v>
      </c>
    </row>
    <row r="21" spans="1:4" x14ac:dyDescent="0.2">
      <c r="A21">
        <v>2700</v>
      </c>
      <c r="B21" t="s">
        <v>710</v>
      </c>
      <c r="C21" s="179">
        <f>ROUND('DOE25'!L209+'DOE25'!L227+'DOE25'!L245+'DOE25'!L288+'DOE25'!L307+'DOE25'!L326,0)</f>
        <v>1359127</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353626</v>
      </c>
      <c r="D27" s="182">
        <f t="shared" si="0"/>
        <v>1.3</v>
      </c>
    </row>
    <row r="28" spans="1:4" x14ac:dyDescent="0.2">
      <c r="B28" s="187" t="s">
        <v>719</v>
      </c>
      <c r="C28" s="180">
        <f>SUM(C10:C27)</f>
        <v>27152938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27152938</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20975939</v>
      </c>
      <c r="D35" s="182">
        <f t="shared" ref="D35:D40" si="1">ROUND((C35/$C$41)*100,1)</f>
        <v>73</v>
      </c>
    </row>
    <row r="36" spans="1:4" x14ac:dyDescent="0.2">
      <c r="B36" s="185" t="s">
        <v>739</v>
      </c>
      <c r="C36" s="179">
        <f>SUM('DOE25'!F112:J112)-SUM('DOE25'!G97:G110)+('DOE25'!F175+'DOE25'!F176+'DOE25'!I175+'DOE25'!I176)-C35</f>
        <v>124698</v>
      </c>
      <c r="D36" s="182">
        <f t="shared" si="1"/>
        <v>0.4</v>
      </c>
    </row>
    <row r="37" spans="1:4" x14ac:dyDescent="0.2">
      <c r="A37" s="183" t="s">
        <v>835</v>
      </c>
      <c r="B37" s="185" t="s">
        <v>728</v>
      </c>
      <c r="C37" s="179">
        <f>ROUND('DOE25'!F117+'DOE25'!F118,0)</f>
        <v>6053003</v>
      </c>
      <c r="D37" s="182">
        <f t="shared" si="1"/>
        <v>21.1</v>
      </c>
    </row>
    <row r="38" spans="1:4" x14ac:dyDescent="0.2">
      <c r="A38" s="183" t="s">
        <v>734</v>
      </c>
      <c r="B38" s="185" t="s">
        <v>729</v>
      </c>
      <c r="C38" s="179">
        <f>ROUND(SUM('DOE25'!F140:J140)-SUM('DOE25'!F117:F119),0)</f>
        <v>217420</v>
      </c>
      <c r="D38" s="182">
        <f t="shared" si="1"/>
        <v>0.8</v>
      </c>
    </row>
    <row r="39" spans="1:4" x14ac:dyDescent="0.2">
      <c r="A39">
        <v>4000</v>
      </c>
      <c r="B39" s="185" t="s">
        <v>730</v>
      </c>
      <c r="C39" s="179">
        <f>ROUND('DOE25'!F170+'DOE25'!G170+'DOE25'!H170+'DOE25'!I170,0)</f>
        <v>1345621</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28716681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INTER-LAKES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2021-08-24T13:03:13Z</cp:lastPrinted>
  <dcterms:created xsi:type="dcterms:W3CDTF">1997-12-04T19:04:30Z</dcterms:created>
  <dcterms:modified xsi:type="dcterms:W3CDTF">2021-12-14T18:10:50Z</dcterms:modified>
</cp:coreProperties>
</file>