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12" i="2" s="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F409" i="1" s="1"/>
  <c r="H644" i="1" s="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3" i="1"/>
  <c r="H653" i="1"/>
  <c r="G654" i="1"/>
  <c r="H654" i="1"/>
  <c r="G655" i="1"/>
  <c r="H655" i="1"/>
  <c r="H656" i="1"/>
  <c r="J656" i="1" s="1"/>
  <c r="G62" i="2"/>
  <c r="I170" i="1"/>
  <c r="C12" i="10" l="1"/>
  <c r="G646" i="1"/>
  <c r="E124" i="2"/>
  <c r="C13" i="10"/>
  <c r="G477" i="1"/>
  <c r="H624" i="1" s="1"/>
  <c r="J624" i="1" s="1"/>
  <c r="H477" i="1"/>
  <c r="H625" i="1" s="1"/>
  <c r="J625" i="1" s="1"/>
  <c r="H663" i="1"/>
  <c r="C121" i="2"/>
  <c r="C120" i="2"/>
  <c r="A40" i="12"/>
  <c r="J258" i="1"/>
  <c r="J272" i="1" s="1"/>
  <c r="E123" i="2"/>
  <c r="D18" i="13"/>
  <c r="C18" i="13" s="1"/>
  <c r="E131" i="2"/>
  <c r="G553" i="1"/>
  <c r="I112" i="1"/>
  <c r="E119" i="2"/>
  <c r="D6" i="13"/>
  <c r="C6" i="13" s="1"/>
  <c r="E13" i="13"/>
  <c r="C13" i="13" s="1"/>
  <c r="G662" i="1"/>
  <c r="J652" i="1"/>
  <c r="D50" i="2"/>
  <c r="E110" i="2"/>
  <c r="D15" i="13"/>
  <c r="C15" i="13" s="1"/>
  <c r="H409" i="1"/>
  <c r="H645" i="1" s="1"/>
  <c r="J645" i="1" s="1"/>
  <c r="G339" i="1"/>
  <c r="G353" i="1" s="1"/>
  <c r="J572"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E128" i="2" s="1"/>
  <c r="L291" i="1"/>
  <c r="L615" i="1"/>
  <c r="K599" i="1"/>
  <c r="G648" i="1" s="1"/>
  <c r="K572" i="1"/>
  <c r="L571" i="1"/>
  <c r="H572" i="1"/>
  <c r="L566" i="1"/>
  <c r="I572" i="1"/>
  <c r="K546" i="1"/>
  <c r="H52" i="1"/>
  <c r="H620" i="1" s="1"/>
  <c r="J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B33" i="16" l="1"/>
  <c r="I663" i="1"/>
  <c r="H649" i="1"/>
  <c r="G24" i="14"/>
  <c r="H24" i="14" s="1"/>
  <c r="I24" i="14" s="1"/>
  <c r="D51" i="2"/>
  <c r="E115" i="2"/>
  <c r="H194" i="1"/>
  <c r="G630" i="1" s="1"/>
  <c r="J630" i="1" s="1"/>
  <c r="L572" i="1"/>
  <c r="C81" i="2"/>
  <c r="C141" i="2"/>
  <c r="C144" i="2" s="1"/>
  <c r="H661" i="1"/>
  <c r="H665" i="1" s="1"/>
  <c r="H668" i="1" s="1"/>
  <c r="F194" i="1"/>
  <c r="G628" i="1" s="1"/>
  <c r="J628" i="1" s="1"/>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<sst xmlns="http://schemas.openxmlformats.org/spreadsheetml/2006/main" count="5576" uniqueCount="1675">
  <si>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</si>
  <si>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</si>
  <si>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</si>
  <si>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</si>
  <si>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</si>
  <si>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</si>
  <si>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</si>
  <si>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</si>
  <si>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</si>
  <si>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</si>
  <si>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</si>
  <si>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</si>
  <si>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</si>
  <si>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</si>
  <si>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</si>
  <si>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</si>
  <si>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</si>
  <si>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</si>
  <si>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</si>
  <si>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</si>
  <si>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</si>
  <si>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</si>
  <si>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</si>
  <si>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</si>
  <si>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</si>
  <si>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</si>
  <si>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</si>
  <si>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</si>
  <si>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</si>
  <si>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</si>
  <si>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</si>
  <si>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</si>
  <si>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</si>
  <si>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</si>
  <si>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</si>
  <si>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</si>
  <si>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</si>
  <si>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</si>
  <si>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</si>
  <si>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</si>
  <si>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</si>
  <si>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</si>
  <si>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</si>
  <si>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</si>
  <si>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</si>
  <si>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</si>
  <si>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</si>
  <si>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</si>
  <si>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</si>
  <si>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</si>
  <si>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</si>
  <si>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</si>
  <si>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</si>
  <si>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</si>
  <si>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</si>
  <si>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</si>
  <si>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</si>
  <si>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</si>
  <si>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</si>
  <si>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</si>
  <si>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</si>
  <si>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</si>
  <si>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</si>
  <si>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</si>
  <si>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</si>
  <si>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</si>
  <si>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</si>
  <si>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</si>
  <si>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</si>
  <si>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</si>
  <si>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</si>
  <si>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</si>
  <si>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</si>
  <si>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</si>
  <si>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</si>
  <si>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</si>
  <si>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</si>
  <si>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</si>
  <si>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</si>
  <si>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</si>
  <si>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</si>
  <si>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</si>
  <si>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</si>
  <si>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</si>
  <si>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</si>
  <si>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</si>
  <si>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</si>
  <si>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</si>
  <si>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</si>
  <si>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</si>
  <si>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</si>
  <si>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</si>
  <si>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</si>
  <si>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</si>
  <si>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</si>
  <si>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</si>
  <si>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</si>
  <si>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</si>
  <si>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</si>
  <si>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</si>
  <si>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</si>
  <si>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</si>
  <si>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</si>
  <si>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</si>
  <si>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</si>
  <si>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</si>
  <si>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</si>
  <si>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</si>
  <si>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</si>
  <si>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</si>
  <si>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</si>
  <si>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</si>
  <si>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</si>
  <si>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</si>
  <si>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</si>
  <si>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</si>
  <si>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</si>
  <si>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</si>
  <si>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</si>
  <si>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</si>
  <si>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</si>
  <si>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</si>
  <si>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</si>
  <si>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</si>
  <si>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</si>
  <si>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</si>
  <si>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</si>
  <si>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</si>
  <si>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</si>
  <si>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</si>
  <si>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</si>
  <si>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</si>
  <si>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</si>
  <si>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</si>
  <si>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</si>
  <si>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</si>
  <si>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</si>
  <si>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</si>
  <si>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</si>
  <si>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</si>
  <si>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</si>
  <si>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</si>
  <si>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</si>
  <si>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</si>
  <si>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</si>
  <si>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</si>
  <si>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</si>
  <si>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</si>
  <si>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</si>
  <si>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</si>
  <si>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</si>
  <si>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</si>
  <si>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</si>
  <si>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</si>
  <si>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</si>
  <si>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</si>
  <si>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</si>
  <si>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</si>
  <si>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</si>
  <si>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</si>
  <si>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</si>
  <si>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</si>
  <si>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</si>
  <si>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</si>
  <si>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</si>
  <si>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</si>
  <si>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</si>
  <si>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</si>
  <si>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</si>
  <si>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</si>
  <si>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</si>
  <si>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</si>
  <si>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</si>
  <si>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</si>
  <si>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</si>
  <si>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</si>
  <si>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</si>
  <si>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</si>
  <si>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</si>
  <si>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</si>
  <si>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</si>
  <si>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</si>
  <si>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</si>
  <si>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</si>
  <si>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</si>
  <si>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</si>
  <si>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</si>
  <si>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</si>
  <si>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</si>
  <si>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</si>
  <si>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</si>
  <si>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</si>
  <si>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</si>
  <si>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</si>
  <si>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</si>
  <si>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</si>
  <si>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</si>
  <si>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</si>
  <si>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</si>
  <si>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</si>
  <si>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</si>
  <si>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</si>
  <si>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</si>
  <si>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</si>
  <si>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</si>
  <si>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</si>
  <si>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</si>
  <si>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</si>
  <si>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</si>
  <si>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</si>
  <si>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</si>
  <si>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</si>
  <si>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</si>
  <si>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</si>
  <si>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</si>
  <si>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</si>
  <si>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</si>
  <si>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</si>
  <si>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</si>
  <si>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</si>
  <si>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</si>
  <si>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</si>
  <si>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</si>
  <si>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</si>
  <si>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</si>
  <si>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</si>
  <si>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</si>
  <si>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</si>
  <si>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</si>
  <si>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</si>
  <si>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</si>
  <si>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</si>
  <si>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</si>
  <si>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</si>
  <si>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</si>
  <si>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</si>
  <si>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</si>
  <si>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</si>
  <si>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</si>
  <si>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</si>
  <si>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</si>
  <si>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</si>
  <si>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</si>
  <si>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</si>
  <si>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</si>
  <si>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</si>
  <si>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</si>
  <si>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</si>
  <si>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</si>
  <si>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</si>
  <si>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</si>
  <si>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</si>
  <si>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</si>
  <si>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</si>
  <si>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</si>
  <si>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</si>
  <si>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</si>
  <si>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</si>
  <si>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</si>
  <si>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</si>
  <si>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</si>
  <si>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</si>
  <si>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</si>
  <si>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</si>
  <si>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</si>
  <si>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</si>
  <si>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</si>
  <si>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</si>
  <si>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</si>
  <si>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</si>
  <si>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</si>
  <si>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</si>
  <si>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</si>
  <si>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</si>
  <si>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</si>
  <si>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</si>
  <si>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</si>
  <si>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</si>
  <si>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</si>
  <si>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</si>
  <si>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</si>
  <si>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</si>
  <si>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</si>
  <si>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</si>
  <si>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</si>
  <si>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</si>
  <si>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</si>
  <si>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</si>
  <si>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</si>
  <si>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</si>
  <si>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</si>
  <si>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</si>
  <si>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</si>
  <si>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</si>
  <si>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</si>
  <si>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</si>
  <si>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</si>
  <si>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</si>
  <si>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</si>
  <si>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</si>
  <si>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</si>
  <si>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</si>
  <si>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</si>
  <si>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</si>
  <si>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</si>
  <si>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</si>
  <si>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</si>
  <si>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</si>
  <si>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</si>
  <si>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</si>
  <si>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</si>
  <si>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</si>
  <si>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</si>
  <si>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</si>
  <si>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</si>
  <si>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</si>
  <si>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</si>
  <si>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</si>
  <si>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</si>
  <si>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</si>
  <si>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</si>
  <si>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</si>
  <si>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</si>
  <si>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</si>
  <si>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</si>
  <si>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</si>
  <si>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</si>
  <si>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</si>
  <si>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</si>
  <si>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</si>
  <si>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</si>
  <si>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</si>
  <si>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</si>
  <si>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</si>
  <si>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</si>
  <si>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</si>
  <si>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</si>
  <si>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</si>
  <si>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</si>
  <si>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</si>
  <si>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</si>
  <si>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</si>
  <si>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</si>
  <si>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</si>
  <si>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</si>
  <si>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</si>
  <si>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</si>
  <si>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</si>
  <si>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</si>
  <si>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</si>
  <si>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</si>
  <si>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</si>
  <si>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</si>
  <si>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</si>
  <si>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</si>
  <si>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</si>
  <si>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</si>
  <si>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</si>
  <si>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</si>
  <si>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</si>
  <si>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</si>
  <si>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</si>
  <si>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</si>
  <si>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</si>
  <si>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</si>
  <si>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</si>
  <si>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</si>
  <si>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</si>
  <si>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</si>
  <si>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</si>
  <si>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</si>
  <si>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</si>
  <si>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</si>
  <si>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</si>
  <si>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</si>
  <si>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</si>
  <si>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</si>
  <si>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</si>
  <si>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</si>
  <si>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</si>
  <si>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</si>
  <si>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</si>
  <si>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</si>
  <si>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</si>
  <si>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</si>
  <si>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</si>
  <si>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</si>
  <si>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</si>
  <si>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</si>
  <si>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</si>
  <si>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</si>
  <si>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</si>
  <si>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</si>
  <si>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</si>
  <si>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</si>
  <si>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</si>
  <si>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</si>
  <si>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</si>
  <si>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</si>
  <si>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</si>
  <si>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</si>
  <si>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</si>
  <si>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</si>
  <si>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</si>
  <si>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</si>
  <si>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</si>
  <si>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</si>
  <si>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</si>
  <si>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</si>
  <si>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</si>
  <si>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</si>
  <si>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</si>
  <si>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</si>
  <si>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</si>
  <si>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</si>
  <si>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</si>
  <si>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</si>
  <si>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</si>
  <si>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</si>
  <si>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</si>
  <si>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</si>
  <si>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</si>
  <si>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</si>
  <si>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</si>
  <si>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</si>
  <si>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</si>
  <si>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</si>
  <si>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</si>
  <si>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</si>
  <si>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</si>
  <si>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</si>
  <si>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</si>
  <si>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</si>
  <si>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</si>
  <si>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</si>
  <si>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</si>
  <si>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</si>
  <si>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</si>
  <si>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</si>
  <si>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</si>
  <si>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</si>
  <si>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</si>
  <si>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</si>
  <si>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</si>
  <si>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</si>
  <si>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</si>
  <si>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</si>
  <si>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</si>
  <si>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</si>
  <si>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</si>
  <si>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</si>
  <si>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</si>
  <si>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</si>
  <si>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</si>
  <si>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</si>
  <si>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</si>
  <si>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</si>
  <si>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</si>
  <si>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</si>
  <si>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</si>
  <si>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</si>
  <si>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</si>
  <si>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</si>
  <si>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</si>
  <si>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</si>
  <si>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</si>
  <si>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</si>
  <si>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</si>
  <si>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</si>
  <si>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</si>
  <si>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</si>
  <si>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</si>
  <si>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</si>
  <si>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</si>
  <si>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</si>
  <si>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</si>
  <si>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</si>
  <si>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</si>
  <si>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</si>
  <si>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</si>
  <si>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</si>
  <si>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</si>
  <si>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</si>
  <si>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</si>
  <si>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</si>
  <si>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</si>
  <si>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</si>
  <si>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</si>
  <si>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</si>
  <si>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</si>
  <si>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</si>
  <si>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</si>
  <si>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</si>
  <si>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</si>
  <si>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</si>
  <si>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</si>
  <si>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</si>
  <si>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</si>
  <si>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</si>
  <si>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</si>
  <si>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</si>
  <si>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</si>
  <si>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</si>
  <si>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</si>
  <si>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</si>
  <si>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</si>
  <si>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</si>
  <si>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</si>
  <si>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</si>
  <si>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</si>
  <si>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</si>
  <si>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</si>
  <si>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</si>
  <si>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</si>
  <si>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</si>
  <si>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</si>
  <si>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</si>
  <si>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</si>
  <si>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</si>
  <si>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</si>
  <si>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</si>
  <si>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</si>
  <si>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</si>
  <si>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</si>
  <si>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</si>
  <si>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</si>
  <si>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</si>
  <si>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</si>
  <si>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</si>
  <si>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</si>
  <si>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</si>
  <si>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</si>
  <si>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</si>
  <si>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</si>
  <si>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</si>
  <si>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</si>
  <si>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</si>
  <si>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</si>
  <si>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</si>
  <si>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</si>
  <si>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</si>
  <si>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</si>
  <si>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</si>
  <si>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</si>
  <si>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</si>
  <si>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</si>
  <si>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</si>
  <si>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</si>
  <si>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</si>
  <si>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</si>
  <si>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</si>
  <si>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</si>
  <si>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</si>
  <si>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</si>
  <si>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</si>
  <si>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</si>
  <si>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</si>
  <si>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</si>
  <si>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</si>
  <si>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</si>
  <si>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</si>
  <si>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</si>
  <si>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</si>
  <si>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</si>
  <si>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</si>
  <si>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</si>
  <si>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</si>
  <si>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</si>
  <si>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</si>
  <si>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</si>
  <si>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</si>
  <si>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</si>
  <si>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</si>
  <si>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</si>
  <si>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</si>
  <si>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</si>
  <si>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</si>
  <si>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</si>
  <si>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</si>
  <si>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</si>
  <si>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</si>
  <si>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</si>
  <si>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</si>
  <si>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</si>
  <si>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</si>
  <si>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</si>
  <si>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</si>
  <si>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</si>
  <si>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</si>
  <si>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</si>
  <si>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</si>
  <si>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</si>
  <si>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</si>
  <si>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</si>
  <si>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</si>
  <si>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</si>
  <si>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</si>
  <si>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</si>
  <si>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</si>
  <si>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</si>
  <si>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</si>
  <si>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</si>
  <si>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</si>
  <si>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</si>
  <si>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</si>
  <si>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</si>
  <si>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</si>
  <si>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</si>
  <si>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</si>
  <si>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</si>
  <si>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</si>
  <si>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</si>
  <si>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</si>
  <si>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</si>
  <si>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</si>
  <si>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</si>
  <si>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</si>
  <si>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</si>
  <si>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</si>
  <si>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</si>
  <si>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</si>
  <si>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</si>
  <si>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</si>
  <si>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</si>
  <si>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</si>
  <si>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</si>
  <si>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</si>
  <si>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</si>
  <si>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</si>
  <si>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</si>
  <si>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</si>
  <si>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</si>
  <si>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</si>
  <si>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</si>
  <si>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</si>
  <si>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</si>
  <si>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</si>
  <si>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</si>
  <si>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</si>
  <si>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</si>
  <si>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</si>
  <si>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</si>
  <si>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</si>
  <si>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</si>
  <si>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</si>
  <si>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</si>
  <si>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</si>
  <si>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</si>
  <si>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</si>
  <si>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</si>
  <si>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</si>
  <si>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</si>
  <si>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</si>
  <si>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</si>
  <si>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</si>
  <si>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</si>
  <si>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</si>
  <si>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</si>
  <si>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</si>
  <si>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</si>
  <si>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</si>
  <si>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</si>
  <si>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</si>
  <si>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</si>
  <si>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</si>
  <si>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</si>
  <si>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</si>
  <si>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</si>
  <si>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</si>
  <si>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</si>
  <si>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</si>
  <si>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</si>
  <si>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</si>
  <si>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</si>
  <si>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</si>
  <si>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</si>
  <si>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</si>
  <si>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</si>
  <si>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</si>
  <si>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</si>
  <si>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</si>
  <si>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</si>
  <si>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</si>
  <si>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</si>
  <si>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</si>
  <si>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</si>
  <si>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</si>
  <si>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</si>
  <si>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</si>
  <si>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</si>
  <si>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</si>
  <si>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</si>
  <si>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</si>
  <si>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</si>
  <si>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</si>
  <si>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</si>
  <si>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</si>
  <si>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</si>
  <si>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</si>
  <si>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</si>
  <si>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</si>
  <si>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</si>
  <si>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</si>
  <si>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</si>
  <si>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</si>
  <si>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</si>
  <si>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</si>
  <si>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</si>
  <si>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</si>
  <si>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</si>
  <si>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</si>
  <si>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</si>
  <si>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</si>
  <si>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</si>
  <si>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</si>
  <si>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</si>
  <si>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</si>
  <si>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</si>
  <si>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</si>
  <si>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</si>
  <si>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</si>
  <si>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</si>
  <si>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</si>
  <si>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</si>
  <si>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</si>
  <si>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</si>
  <si>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</si>
  <si>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</si>
  <si>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</si>
  <si>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</si>
  <si>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</si>
  <si>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</si>
  <si>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</si>
  <si>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</si>
  <si>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</si>
  <si>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</si>
  <si>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</si>
  <si>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</si>
  <si>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</si>
  <si>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</si>
  <si>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</si>
  <si>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</si>
  <si>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</si>
  <si>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</si>
  <si>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</si>
  <si>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</si>
  <si>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</si>
  <si>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</si>
  <si>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</si>
  <si>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</si>
  <si>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</si>
  <si>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</si>
  <si>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</si>
  <si>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</si>
  <si>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</si>
  <si>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</si>
  <si>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</si>
  <si>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</si>
  <si>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</si>
  <si>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</si>
  <si>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</si>
  <si>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</si>
  <si>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</si>
  <si>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</si>
  <si>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</si>
  <si>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</si>
  <si>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</si>
  <si>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</si>
  <si>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</si>
  <si>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</si>
  <si>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</si>
  <si>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</si>
  <si>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</si>
  <si>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</si>
  <si>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</si>
  <si>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</si>
  <si>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</si>
  <si>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</si>
  <si>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</si>
  <si>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</si>
  <si>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</si>
  <si>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</si>
  <si>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</si>
  <si>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</si>
  <si>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</si>
  <si>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</si>
  <si>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</si>
  <si>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</si>
  <si>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</si>
  <si>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</si>
  <si>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</si>
  <si>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</si>
  <si>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</si>
  <si>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</si>
  <si>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</si>
  <si>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</si>
  <si>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</si>
  <si>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</si>
  <si>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</si>
  <si>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</si>
  <si>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</si>
  <si>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</si>
  <si>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</si>
  <si>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</si>
  <si>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</si>
  <si>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</si>
  <si>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</si>
  <si>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</si>
  <si>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</si>
  <si>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</si>
  <si>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</si>
  <si>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</si>
  <si>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</si>
  <si>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</si>
  <si>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</si>
  <si>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</si>
  <si>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</si>
  <si>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</si>
  <si>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</si>
  <si>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</si>
  <si>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</si>
  <si>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</si>
  <si>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</si>
  <si>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</si>
  <si>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</si>
  <si>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</si>
  <si>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</si>
  <si>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</si>
  <si>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</si>
  <si>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</si>
  <si>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</si>
  <si>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</si>
  <si>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</si>
  <si>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</si>
  <si>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</si>
  <si>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</si>
  <si>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</si>
  <si>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</si>
  <si>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</si>
  <si>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</si>
  <si>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</si>
  <si>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</si>
  <si>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</si>
  <si>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</si>
  <si>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</si>
  <si>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</si>
  <si>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</si>
  <si>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</si>
  <si>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</si>
  <si>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</si>
  <si>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</si>
  <si>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</si>
  <si>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</si>
  <si>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</si>
  <si>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</si>
  <si>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</si>
  <si>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</si>
  <si>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</si>
  <si>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</si>
  <si>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</si>
  <si>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</si>
  <si>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</si>
  <si>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</si>
  <si>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</si>
  <si>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</si>
  <si>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</si>
  <si>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</si>
  <si>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</si>
  <si>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</si>
  <si>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</si>
  <si>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</si>
  <si>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</si>
  <si>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</si>
  <si>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</si>
  <si>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</si>
  <si>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</si>
  <si>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</si>
  <si>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</si>
  <si>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</si>
  <si>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</si>
  <si>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</si>
  <si>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</si>
  <si>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</si>
  <si>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</si>
  <si>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</si>
  <si>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</si>
  <si>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</si>
  <si>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</si>
  <si>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</si>
  <si>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</si>
  <si>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</si>
  <si>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</si>
  <si>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</si>
  <si>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</si>
  <si>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</si>
  <si>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</si>
  <si>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</si>
  <si>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</si>
  <si>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</si>
  <si>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</si>
  <si>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</si>
  <si>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</si>
  <si>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</si>
  <si>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</si>
  <si>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</si>
  <si>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</si>
  <si>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</si>
  <si>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</si>
  <si>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</si>
  <si>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</si>
  <si>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</si>
  <si>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</si>
  <si>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</si>
  <si>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</si>
  <si>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</si>
  <si>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</si>
  <si>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</si>
  <si>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</si>
  <si>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</si>
  <si>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</si>
  <si>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</si>
  <si>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</si>
  <si>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</si>
  <si>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</si>
  <si>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</si>
  <si>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</si>
  <si>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</si>
  <si>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</si>
  <si>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</si>
  <si>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</si>
  <si>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</si>
  <si>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</si>
  <si>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</si>
  <si>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</si>
  <si>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</si>
  <si>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</si>
  <si>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</si>
  <si>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</si>
  <si>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</si>
  <si>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</si>
  <si>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</si>
  <si>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</si>
  <si>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</si>
  <si>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</si>
  <si>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</si>
  <si>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</si>
  <si>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</si>
  <si>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</si>
  <si>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</si>
  <si>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</si>
  <si>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</si>
  <si>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</si>
  <si>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</si>
  <si>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</si>
  <si>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</si>
  <si>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</si>
  <si>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</si>
  <si>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</si>
  <si>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</si>
  <si>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</si>
  <si>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</si>
  <si>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</si>
  <si>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</si>
  <si>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</si>
  <si>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</si>
  <si>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</si>
  <si>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</si>
  <si>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</si>
  <si>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</si>
  <si>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</si>
  <si>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</si>
  <si>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</si>
  <si>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</si>
  <si>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</si>
  <si>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</si>
  <si>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</si>
  <si>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</si>
  <si>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</si>
  <si>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</si>
  <si>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</si>
  <si>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</si>
  <si>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</si>
  <si>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</si>
  <si>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</si>
  <si>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</si>
  <si>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</si>
  <si>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</si>
  <si>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</si>
  <si>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</si>
  <si>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</si>
  <si>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</si>
  <si>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</si>
  <si>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</si>
  <si>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</si>
  <si>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</si>
  <si>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</si>
  <si>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</si>
  <si>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</si>
  <si>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</si>
  <si>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</si>
  <si>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</si>
  <si>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</si>
  <si>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</si>
  <si>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</si>
  <si>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</si>
  <si>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</si>
  <si>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</si>
  <si>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</si>
  <si>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</si>
  <si>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</si>
  <si>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</si>
  <si>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</si>
  <si>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</si>
  <si>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</si>
  <si>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</si>
  <si>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</si>
  <si>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</si>
  <si>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</si>
  <si>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</si>
  <si>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</si>
  <si>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</si>
  <si>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</si>
  <si>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</si>
  <si>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</si>
  <si>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</si>
  <si>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</si>
  <si>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</si>
  <si>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</si>
  <si>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</si>
  <si>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</si>
  <si>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</si>
  <si>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</si>
  <si>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</si>
  <si>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</si>
  <si>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</si>
  <si>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</si>
  <si>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</si>
  <si>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</si>
  <si>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</si>
  <si>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</si>
  <si>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</si>
  <si>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</si>
  <si>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</si>
  <si>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</si>
  <si>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</si>
  <si>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</si>
  <si>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</si>
  <si>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</si>
  <si>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</si>
  <si>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</si>
  <si>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</si>
  <si>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</si>
  <si>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</si>
  <si>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</si>
  <si>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</si>
  <si>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</si>
  <si>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</si>
  <si>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</si>
  <si>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</si>
  <si>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</si>
  <si>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</si>
  <si>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</si>
  <si>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</si>
  <si>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</si>
  <si>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</si>
  <si>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</si>
  <si>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</si>
  <si>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</si>
  <si>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</si>
  <si>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</si>
  <si>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</si>
  <si>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</si>
  <si>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</si>
  <si>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</si>
  <si>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</si>
  <si>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</si>
  <si>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</si>
  <si>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</si>
  <si>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</si>
  <si>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</si>
  <si>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</si>
  <si>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</si>
  <si>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</si>
  <si>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</si>
  <si>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</si>
  <si>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</si>
  <si>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</si>
  <si>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</si>
  <si>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</si>
  <si>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</si>
  <si>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</si>
  <si>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</si>
  <si>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</si>
  <si>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</si>
  <si>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</si>
  <si>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</si>
  <si>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</si>
  <si>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</si>
  <si>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</si>
  <si>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</si>
  <si>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</si>
  <si>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</si>
  <si>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</si>
  <si>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</si>
  <si>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</si>
  <si>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</si>
  <si>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</si>
  <si>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</si>
  <si>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</si>
  <si>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</si>
  <si>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</si>
  <si>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</si>
  <si>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</si>
  <si>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</si>
  <si>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</si>
  <si>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</si>
  <si>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</si>
  <si>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</si>
  <si>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</si>
  <si>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</si>
  <si>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</si>
  <si>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</si>
  <si>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</si>
  <si>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</si>
  <si>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</si>
  <si>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</si>
  <si>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</si>
  <si>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</si>
  <si>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</si>
  <si>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</si>
  <si>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</si>
  <si>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</si>
  <si>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</si>
  <si>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</si>
  <si>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</si>
  <si>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</si>
  <si>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</si>
  <si>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</si>
  <si>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</si>
  <si>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</si>
  <si>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</si>
  <si>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</si>
  <si>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</si>
  <si>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</si>
  <si>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</si>
  <si>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</si>
  <si>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</si>
  <si>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</si>
  <si>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</si>
  <si>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</si>
  <si>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</si>
  <si>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</si>
  <si>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</si>
  <si>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</si>
  <si>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</si>
  <si>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</si>
  <si>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</si>
  <si>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</si>
  <si>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</si>
  <si>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</si>
  <si>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</si>
  <si>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</si>
  <si>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</si>
  <si>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</si>
  <si>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</si>
  <si>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</si>
  <si>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</si>
  <si>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</si>
  <si>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</si>
  <si>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</si>
  <si>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</si>
  <si>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</si>
  <si>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</si>
  <si>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</si>
  <si>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</si>
  <si>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</si>
  <si>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</si>
  <si>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</si>
  <si>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</si>
  <si>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</si>
  <si>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</si>
  <si>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</si>
  <si>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</si>
  <si>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</si>
  <si>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</si>
  <si>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</si>
  <si>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</si>
  <si>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</si>
  <si>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</si>
  <si>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</si>
  <si>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</si>
  <si>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</si>
  <si>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</si>
  <si>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</si>
  <si>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</si>
  <si>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</si>
  <si>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</si>
  <si>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</si>
  <si>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</si>
  <si>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</si>
  <si>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</si>
  <si>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</si>
  <si>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</si>
  <si>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</si>
  <si>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</si>
  <si>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</si>
  <si>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</si>
  <si>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</si>
  <si>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</si>
  <si>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</si>
  <si>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</si>
  <si>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</si>
  <si>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</si>
  <si>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</si>
  <si>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</si>
  <si>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</si>
  <si>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</si>
  <si>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</si>
  <si>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</si>
  <si>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</si>
  <si>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</si>
  <si>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</si>
  <si>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</si>
  <si>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</si>
  <si>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</si>
  <si>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</si>
  <si>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</si>
  <si>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</si>
  <si>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</si>
  <si>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</si>
  <si>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</si>
  <si>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</si>
  <si>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</si>
  <si>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</si>
  <si>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</si>
  <si>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</si>
  <si>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</si>
  <si>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</si>
  <si>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</si>
  <si>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</si>
  <si>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</si>
  <si>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</si>
  <si>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</si>
  <si>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</si>
  <si>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</si>
  <si>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</si>
  <si>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</si>
  <si>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</si>
  <si>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</si>
  <si>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</si>
  <si>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</si>
  <si>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</si>
  <si>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</si>
  <si>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</si>
  <si>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</si>
  <si>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</si>
  <si>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</si>
  <si>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</si>
  <si>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</si>
  <si>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</si>
  <si>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</si>
  <si>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</si>
  <si>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</si>
  <si>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</si>
  <si>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</si>
  <si>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</si>
  <si>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</si>
  <si>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</si>
  <si>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</si>
  <si>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</si>
  <si>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</si>
  <si>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</si>
  <si>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</si>
  <si>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</si>
  <si>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</si>
  <si>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</si>
  <si>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</si>
  <si>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</si>
  <si>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</si>
  <si>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</si>
  <si>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</si>
  <si>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</si>
  <si>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</si>
  <si>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</si>
  <si>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</si>
  <si>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</si>
  <si>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</si>
  <si>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</si>
  <si>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</si>
  <si>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</si>
  <si>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</si>
  <si>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</si>
  <si>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</si>
  <si>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</si>
  <si>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</si>
  <si>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</si>
  <si>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</si>
  <si>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</si>
  <si>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</si>
  <si>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</si>
  <si>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</si>
  <si>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</si>
  <si>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</si>
  <si>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</si>
  <si>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</si>
  <si>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</si>
  <si>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</si>
  <si>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</si>
  <si>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</si>
  <si>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</si>
  <si>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</si>
  <si>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</si>
  <si>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</si>
  <si>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</si>
  <si>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</si>
  <si>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</si>
  <si>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</si>
  <si>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</si>
  <si>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</si>
  <si>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</si>
  <si>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</si>
  <si>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</si>
  <si>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</si>
  <si>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</si>
  <si>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</si>
  <si>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</si>
  <si>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</si>
  <si>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</si>
  <si>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</si>
  <si>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</si>
  <si>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</si>
  <si>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</si>
  <si>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</si>
  <si>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</si>
  <si>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</si>
  <si>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</si>
  <si>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</si>
  <si>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</si>
  <si>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</si>
  <si>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</si>
  <si>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</si>
  <si>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</si>
  <si>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</si>
  <si>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</si>
  <si>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</si>
  <si>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</si>
  <si>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</si>
  <si>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</si>
  <si>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</si>
  <si>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</si>
  <si>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</si>
  <si>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</si>
  <si>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</si>
  <si>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</si>
  <si>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</si>
  <si>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</si>
  <si>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</si>
  <si>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</si>
  <si>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</si>
  <si>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</si>
  <si>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</si>
  <si>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</si>
  <si>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</si>
  <si>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</si>
  <si>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</si>
  <si>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</si>
  <si>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</si>
  <si>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</si>
  <si>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</si>
  <si>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</si>
  <si>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</si>
  <si>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</si>
  <si>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</si>
  <si>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</si>
  <si>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</si>
  <si>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</si>
  <si>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</si>
  <si>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</si>
  <si>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</si>
  <si>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</si>
  <si>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</si>
  <si>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</si>
  <si>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</si>
  <si>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</si>
  <si>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</si>
  <si>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</si>
  <si>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</si>
  <si>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</si>
  <si>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</si>
  <si>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</si>
  <si>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</si>
  <si>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</si>
  <si>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</si>
  <si>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</si>
  <si>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</si>
  <si>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</si>
  <si>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</si>
  <si>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</si>
  <si>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</si>
  <si>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</si>
  <si>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</si>
  <si>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</si>
  <si>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</si>
  <si>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</si>
  <si>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</si>
  <si>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</si>
  <si>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</si>
  <si>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</si>
  <si>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</si>
  <si>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</si>
  <si>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</si>
  <si>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</si>
  <si>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</si>
  <si>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</si>
  <si>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</si>
  <si>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</si>
  <si>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</si>
  <si>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</si>
  <si>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</si>
  <si>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</si>
  <si>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</si>
  <si>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</si>
  <si>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</si>
  <si>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</si>
  <si>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</si>
  <si>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</si>
  <si>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</si>
  <si>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</si>
  <si>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</si>
  <si>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</si>
  <si>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</si>
  <si>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</si>
  <si>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</si>
  <si>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</si>
  <si>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</si>
  <si>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</si>
  <si>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</si>
  <si>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</si>
  <si>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</si>
  <si>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</si>
  <si>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</si>
  <si>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</si>
  <si>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</si>
  <si>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</si>
  <si>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</si>
  <si>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</si>
  <si>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</si>
  <si>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</si>
  <si>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</si>
  <si>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</si>
  <si>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</si>
  <si>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</si>
  <si>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</si>
  <si>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</si>
  <si>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</si>
  <si>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</si>
  <si>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</si>
  <si>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</si>
  <si>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</si>
  <si>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</si>
  <si>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</si>
  <si>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</si>
  <si>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</si>
  <si>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</si>
  <si>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</si>
  <si>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</si>
  <si>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</si>
  <si>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</si>
  <si>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</si>
  <si>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</si>
  <si>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</si>
  <si>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</si>
  <si>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</si>
  <si>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</si>
  <si>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</si>
  <si>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</si>
  <si>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</si>
  <si>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</si>
  <si>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</si>
  <si>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</si>
  <si>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</si>
  <si>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</si>
  <si>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</si>
  <si>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</si>
  <si>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</si>
  <si>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</si>
  <si>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</si>
  <si>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</si>
  <si>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</si>
  <si>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</si>
  <si>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</si>
  <si>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</si>
  <si>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</si>
  <si>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</si>
  <si>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</si>
  <si>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</si>
  <si>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</si>
  <si>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</si>
  <si>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</si>
  <si>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</si>
  <si>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</si>
  <si>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</si>
  <si>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</si>
  <si>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</si>
  <si>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</si>
  <si>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</si>
  <si>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</si>
  <si>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</si>
  <si>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</si>
  <si>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</si>
  <si>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</si>
  <si>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</si>
  <si>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</si>
  <si>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</si>
  <si>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</si>
  <si>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</si>
  <si>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</si>
  <si>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</si>
  <si>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</si>
  <si>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</si>
  <si>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</si>
  <si>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</si>
  <si>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</si>
  <si>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</si>
  <si>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</si>
  <si>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</si>
  <si>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</si>
  <si>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</si>
  <si>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</si>
  <si>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</si>
  <si>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</si>
  <si>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</si>
  <si>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</si>
  <si>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</si>
  <si>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</si>
  <si>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</si>
  <si>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</si>
  <si>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</si>
  <si>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</si>
  <si>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</si>
  <si>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</si>
  <si>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</si>
  <si>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</si>
  <si>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</si>
  <si>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</si>
  <si>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</si>
  <si>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</si>
  <si>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</si>
  <si>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</si>
  <si>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</si>
  <si>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</si>
  <si>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</si>
  <si>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</si>
  <si>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</si>
  <si>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</si>
  <si>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</si>
  <si>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</si>
  <si>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</si>
  <si>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</si>
  <si>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</si>
  <si>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</si>
  <si>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</si>
  <si>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</si>
  <si>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</si>
  <si>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</si>
  <si>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</si>
  <si>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</si>
  <si>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</si>
  <si>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</si>
  <si>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</si>
  <si>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</si>
  <si>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</si>
  <si>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</si>
  <si>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</si>
  <si>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</si>
  <si>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</si>
  <si>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</si>
  <si>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</si>
  <si>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</si>
  <si>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</si>
  <si>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</si>
  <si>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</si>
  <si>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</si>
  <si>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</si>
  <si>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</si>
  <si>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</si>
  <si>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</si>
  <si>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</si>
  <si>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</si>
  <si>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</si>
  <si>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</si>
  <si>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</si>
  <si>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</si>
  <si>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</si>
  <si>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</si>
  <si>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</si>
  <si>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</si>
  <si>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</si>
  <si>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</si>
  <si>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</si>
  <si>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</si>
  <si>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</si>
  <si>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</si>
  <si>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</si>
  <si>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</si>
  <si>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</si>
  <si>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</si>
  <si>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</si>
  <si>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</si>
  <si>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</si>
  <si>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</si>
  <si>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</si>
  <si>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</si>
  <si>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</si>
  <si>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</si>
  <si>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</si>
  <si>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</si>
  <si>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</si>
  <si>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</si>
  <si>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</si>
  <si>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</si>
  <si>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</si>
  <si>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</si>
  <si>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</si>
  <si>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</si>
  <si>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</si>
  <si>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</si>
  <si>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</si>
  <si>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</si>
  <si>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</si>
  <si>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</si>
  <si>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</si>
  <si>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</si>
  <si>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</si>
  <si>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</si>
  <si>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</si>
  <si>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</si>
  <si>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</si>
  <si>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</si>
  <si>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</si>
  <si>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</si>
  <si>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</si>
  <si>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</si>
  <si>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</si>
  <si>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</si>
  <si>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</si>
  <si>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</si>
  <si>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</si>
  <si>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</si>
  <si>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</si>
  <si>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</si>
  <si>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</si>
  <si>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</si>
  <si>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</si>
  <si>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</si>
  <si>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</si>
  <si>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</si>
  <si>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</si>
  <si>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</si>
  <si>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</si>
  <si>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</si>
  <si>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</si>
  <si>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</si>
  <si>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</si>
  <si>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</si>
  <si>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</si>
  <si>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</si>
  <si>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</si>
  <si>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</si>
  <si>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</si>
  <si>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</si>
  <si>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</si>
  <si>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         JACKSON SCHOOL DISTRICT</t>
  </si>
  <si>
    <t>Other Deletion - General Fund - PY Fund Balance correction - Cash Balance used vs Fund Balance PY</t>
  </si>
  <si>
    <t>Food Service Attachment - Value of USDA is $0 - Jackson pays Bartlett School District for meals 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</si>
</sst>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271</v>
      </c>
      <c r="C2" s="21">
        <v>271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224812.32</v>
      </c>
      <c r="G9" s="18"/>
      <c r="H9" s="18"/>
      <c r="I9" s="18"/>
      <c r="J9" s="67">
        <f>SUM(I440)</f>
        <v>457937.76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7271.01</v>
      </c>
      <c r="G12" s="18">
        <v>2262.65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18859.13</v>
      </c>
      <c r="G13" s="18">
        <v>7161.74</v>
      </c>
      <c r="H13" s="18">
        <v>13964.64</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62.6</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251005.06000000003</v>
      </c>
      <c r="G19" s="41">
        <f>SUM(G9:G18)</f>
        <v>9424.39</v>
      </c>
      <c r="H19" s="41">
        <f>SUM(H9:H18)</f>
        <v>13964.64</v>
      </c>
      <c r="I19" s="41">
        <f>SUM(I9:I18)</f>
        <v>0</v>
      </c>
      <c r="J19" s="41">
        <f>SUM(J9:J18)</f>
        <v>457937.76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2262.65</v>
      </c>
      <c r="G22" s="18"/>
      <c r="H22" s="18">
        <v>7271.01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6768.1</v>
      </c>
      <c r="G24" s="18">
        <v>9424.39</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3715.71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13753.45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26499.91</v>
      </c>
      <c r="G32" s="41">
        <f>SUM(G22:G31)</f>
        <v>9424.39</v>
      </c>
      <c r="H32" s="41">
        <f>SUM(H22:H31)</f>
        <v>7271.01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6693.63</v>
      </c>
      <c r="I48" s="18"/>
      <c r="J48" s="13">
        <f>SUM(I460)</f>
        <v>457937.76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174505.15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224505.15</v>
      </c>
      <c r="G51" s="41">
        <f>SUM(G35:G50)</f>
        <v>0</v>
      </c>
      <c r="H51" s="41">
        <f>SUM(H35:H50)</f>
        <v>6693.63</v>
      </c>
      <c r="I51" s="41">
        <f>SUM(I35:I50)</f>
        <v>0</v>
      </c>
      <c r="J51" s="41">
        <f>SUM(J35:J50)</f>
        <v>457937.76</v>
      </c>
      <c r="K51" s="45" t="s">
        <v>288</v>
      </c>
      <c r="L51" s="45" t="s">
        <v>288</v>
      </c>
      <c r="N51" s="264"/>
    </row>
    <row r="52" spans="1:14" s="3" customFormat="1" ht="12.2" customHeight="1" thickTop="1" x14ac:dyDescent="0.15">
      <c r="A52" s="38" t="s">
        <v>455</v>
      </c>
      <c r="B52" s="39" t="s">
        <v>289</v>
      </c>
      <c r="C52" s="6">
        <v>37</v>
      </c>
      <c r="D52" s="39" t="s">
        <v>653</v>
      </c>
      <c r="E52" s="39"/>
      <c r="F52" s="41">
        <f>F51+F32</f>
        <v>251005.06</v>
      </c>
      <c r="G52" s="41">
        <f>G51+G32</f>
        <v>9424.39</v>
      </c>
      <c r="H52" s="41">
        <f>H51+H32</f>
        <v>13964.64</v>
      </c>
      <c r="I52" s="41">
        <f>I51+I32</f>
        <v>0</v>
      </c>
      <c r="J52" s="41">
        <f>J51+J32</f>
        <v>457937.76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1692969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1692969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v>542.75</v>
      </c>
      <c r="H96" s="18"/>
      <c r="I96" s="18"/>
      <c r="J96" s="18">
        <v>4114.1000000000004</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36277.199999999997</v>
      </c>
      <c r="G110" s="18"/>
      <c r="H110" s="18">
        <v>4060.07</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36277.199999999997</v>
      </c>
      <c r="G111" s="41">
        <f>SUM(G96:G110)</f>
        <v>542.75</v>
      </c>
      <c r="H111" s="41">
        <f>SUM(H96:H110)</f>
        <v>4060.07</v>
      </c>
      <c r="I111" s="41">
        <f>SUM(I96:I110)</f>
        <v>0</v>
      </c>
      <c r="J111" s="41">
        <f>SUM(J96:J110)</f>
        <v>4114.1000000000004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1729246.2</v>
      </c>
      <c r="G112" s="41">
        <f>G60+G111</f>
        <v>542.75</v>
      </c>
      <c r="H112" s="41">
        <f>H60+H79+H94+H111</f>
        <v>4060.07</v>
      </c>
      <c r="I112" s="41">
        <f>I60+I111</f>
        <v>0</v>
      </c>
      <c r="J112" s="41">
        <f>J60+J111</f>
        <v>4114.1000000000004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788199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788199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142.63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142.63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788199</v>
      </c>
      <c r="G140" s="41">
        <f>G121+SUM(G136:G137)</f>
        <v>142.63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3323.32</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5021.3599999999997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7430.59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16586.14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10990.34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1.74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26706.3</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9806.7099999999991</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1.74</v>
      </c>
      <c r="G163" s="41">
        <f>SUM(G150:G162)</f>
        <v>16586.14</v>
      </c>
      <c r="H163" s="41">
        <f>SUM(H150:H162)</f>
        <v>63278.62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15311.53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15313.27</v>
      </c>
      <c r="G170" s="41">
        <f>G147+G163+SUM(G164:G169)</f>
        <v>16586.14</v>
      </c>
      <c r="H170" s="41">
        <f>H147+H163+SUM(H164:H169)</f>
        <v>63278.62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13864.11</v>
      </c>
      <c r="H180" s="18"/>
      <c r="I180" s="18"/>
      <c r="J180" s="18">
        <v>43000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13864.11</v>
      </c>
      <c r="H184" s="41">
        <f>SUM(H180:H183)</f>
        <v>0</v>
      </c>
      <c r="I184" s="41">
        <f>SUM(I180:I183)</f>
        <v>0</v>
      </c>
      <c r="J184" s="41">
        <f>SUM(J180:J183)</f>
        <v>43000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9000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9000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9000</v>
      </c>
      <c r="G193" s="41">
        <f>G184+SUM(G189:G192)</f>
        <v>13864.11</v>
      </c>
      <c r="H193" s="41">
        <f>+H184+SUM(H189:H192)</f>
        <v>0</v>
      </c>
      <c r="I193" s="41">
        <f>I178+I184+SUM(I189:I192)</f>
        <v>0</v>
      </c>
      <c r="J193" s="41">
        <f>J184</f>
        <v>43000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2541758.4700000002</v>
      </c>
      <c r="G194" s="47">
        <f>G112+G140+G170+G193</f>
        <v>31135.63</v>
      </c>
      <c r="H194" s="47">
        <f>H112+H140+H170+H193</f>
        <v>67338.69</v>
      </c>
      <c r="I194" s="47">
        <f>I112+I140+I170+I193</f>
        <v>0</v>
      </c>
      <c r="J194" s="47">
        <f>J112+J140+J193</f>
        <v>47114.1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385622.16</v>
      </c>
      <c r="G198" s="18">
        <v>234155.17</v>
      </c>
      <c r="H198" s="18">
        <v>6472.06</v>
      </c>
      <c r="I198" s="18">
        <v>11920.36</v>
      </c>
      <c r="J198" s="18">
        <v>5491.42</v>
      </c>
      <c r="K198" s="18"/>
      <c r="L198" s="19">
        <f>SUM(F198:K198)</f>
        <v>643661.17000000004</v>
      </c>
      <c r="M198" s="8"/>
      <c r="N198" s="266"/>
    </row>
    <row r="199" spans="1:14" s="3" customFormat="1" ht="12.2" customHeight="1" x14ac:dyDescent="0.15">
      <c r="A199" s="1" t="s">
        <v>439</v>
      </c>
      <c r="B199" s="2" t="s">
        <v>341</v>
      </c>
      <c r="C199" s="2" t="s">
        <v>291</v>
      </c>
      <c r="D199" s="2" t="s">
        <v>431</v>
      </c>
      <c r="E199" s="6">
        <v>1200</v>
      </c>
      <c r="F199" s="18">
        <v>22862.31</v>
      </c>
      <c r="G199" s="18">
        <v>1830.45</v>
      </c>
      <c r="H199" s="18">
        <v>3894.35</v>
      </c>
      <c r="I199" s="18"/>
      <c r="J199" s="18"/>
      <c r="K199" s="18"/>
      <c r="L199" s="19">
        <f>SUM(F199:K199)</f>
        <v>28587.11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11457.92</v>
      </c>
      <c r="G201" s="18">
        <v>879.52</v>
      </c>
      <c r="H201" s="18">
        <v>8959.06</v>
      </c>
      <c r="I201" s="18">
        <v>320.98</v>
      </c>
      <c r="J201" s="18"/>
      <c r="K201" s="18"/>
      <c r="L201" s="19">
        <f>SUM(F201:K201)</f>
        <v>21617.48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59289</v>
      </c>
      <c r="G203" s="18">
        <v>23488.44</v>
      </c>
      <c r="H203" s="18">
        <v>28683.27</v>
      </c>
      <c r="I203" s="18">
        <v>235.3</v>
      </c>
      <c r="J203" s="18"/>
      <c r="K203" s="18"/>
      <c r="L203" s="19">
        <f t="shared" ref="L203:L209" si="0">SUM(F203:K203)</f>
        <v>111696.01000000001</v>
      </c>
      <c r="M203" s="8"/>
      <c r="N203" s="266"/>
    </row>
    <row r="204" spans="1:14" s="3" customFormat="1" ht="12.2" customHeight="1" x14ac:dyDescent="0.15">
      <c r="A204" s="1" t="s">
        <v>443</v>
      </c>
      <c r="B204" s="2" t="s">
        <v>341</v>
      </c>
      <c r="C204" s="2" t="s">
        <v>295</v>
      </c>
      <c r="D204" s="2" t="s">
        <v>431</v>
      </c>
      <c r="E204" s="6">
        <v>2200</v>
      </c>
      <c r="F204" s="18">
        <v>10192.32</v>
      </c>
      <c r="G204" s="18">
        <v>1079.29</v>
      </c>
      <c r="H204" s="18">
        <v>26411</v>
      </c>
      <c r="I204" s="18">
        <v>2236.96</v>
      </c>
      <c r="J204" s="18"/>
      <c r="K204" s="18"/>
      <c r="L204" s="19">
        <f t="shared" si="0"/>
        <v>39919.57</v>
      </c>
      <c r="M204" s="8"/>
      <c r="N204" s="266"/>
    </row>
    <row r="205" spans="1:14" s="3" customFormat="1" ht="12.2" customHeight="1" x14ac:dyDescent="0.15">
      <c r="A205" s="1" t="s">
        <v>444</v>
      </c>
      <c r="B205" s="2" t="s">
        <v>341</v>
      </c>
      <c r="C205" s="2" t="s">
        <v>296</v>
      </c>
      <c r="D205" s="2" t="s">
        <v>431</v>
      </c>
      <c r="E205" s="6">
        <v>2300</v>
      </c>
      <c r="F205" s="18">
        <v>7329.42</v>
      </c>
      <c r="G205" s="18">
        <v>534</v>
      </c>
      <c r="H205" s="18">
        <v>78213.289999999994</v>
      </c>
      <c r="I205" s="18"/>
      <c r="J205" s="18"/>
      <c r="K205" s="18">
        <v>1193.1199999999999</v>
      </c>
      <c r="L205" s="19">
        <f t="shared" si="0"/>
        <v>87269.829999999987</v>
      </c>
      <c r="M205" s="8"/>
      <c r="N205" s="266"/>
    </row>
    <row r="206" spans="1:14" s="3" customFormat="1" ht="12.2" customHeight="1" x14ac:dyDescent="0.15">
      <c r="A206" s="1" t="s">
        <v>445</v>
      </c>
      <c r="B206" s="2" t="s">
        <v>341</v>
      </c>
      <c r="C206" s="2" t="s">
        <v>297</v>
      </c>
      <c r="D206" s="2" t="s">
        <v>431</v>
      </c>
      <c r="E206" s="6">
        <v>2400</v>
      </c>
      <c r="F206" s="18">
        <v>129154.85</v>
      </c>
      <c r="G206" s="18">
        <v>87241.15</v>
      </c>
      <c r="H206" s="18">
        <v>1533.63</v>
      </c>
      <c r="I206" s="18">
        <v>5252.12</v>
      </c>
      <c r="J206" s="18">
        <v>299.95</v>
      </c>
      <c r="K206" s="18">
        <v>664</v>
      </c>
      <c r="L206" s="19">
        <f t="shared" si="0"/>
        <v>224145.7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68456.25</v>
      </c>
      <c r="G208" s="18">
        <v>22691.25</v>
      </c>
      <c r="H208" s="18">
        <v>78904.47</v>
      </c>
      <c r="I208" s="18">
        <v>26877.54</v>
      </c>
      <c r="J208" s="18">
        <v>968.86</v>
      </c>
      <c r="K208" s="18"/>
      <c r="L208" s="19">
        <f t="shared" si="0"/>
        <v>197898.37</v>
      </c>
      <c r="M208" s="8"/>
      <c r="N208" s="266"/>
    </row>
    <row r="209" spans="1:14" s="3" customFormat="1" ht="12.2" customHeight="1" x14ac:dyDescent="0.15">
      <c r="A209" s="1" t="s">
        <v>448</v>
      </c>
      <c r="B209" s="2" t="s">
        <v>341</v>
      </c>
      <c r="C209" s="2" t="s">
        <v>300</v>
      </c>
      <c r="D209" s="2" t="s">
        <v>431</v>
      </c>
      <c r="E209" s="6">
        <v>2700</v>
      </c>
      <c r="F209" s="18">
        <v>37221.67</v>
      </c>
      <c r="G209" s="18">
        <v>29263.05</v>
      </c>
      <c r="H209" s="18">
        <v>4713.9799999999996</v>
      </c>
      <c r="I209" s="18">
        <v>10499.54</v>
      </c>
      <c r="J209" s="18"/>
      <c r="K209" s="18"/>
      <c r="L209" s="19">
        <f t="shared" si="0"/>
        <v>81698.239999999991</v>
      </c>
      <c r="M209" s="8"/>
      <c r="N209" s="266"/>
    </row>
    <row r="210" spans="1:14" s="3" customFormat="1" ht="12.2" customHeight="1" x14ac:dyDescent="0.15">
      <c r="A210" s="1" t="s">
        <v>449</v>
      </c>
      <c r="B210" s="2" t="s">
        <v>341</v>
      </c>
      <c r="C210" s="2" t="s">
        <v>343</v>
      </c>
      <c r="D210" s="2" t="s">
        <v>431</v>
      </c>
      <c r="E210" s="6">
        <v>2800</v>
      </c>
      <c r="F210" s="18"/>
      <c r="G210" s="18"/>
      <c r="H210" s="18">
        <v>127.97</v>
      </c>
      <c r="I210" s="18"/>
      <c r="J210" s="18"/>
      <c r="K210" s="18"/>
      <c r="L210" s="19">
        <f>SUM(F210:K210)</f>
        <v>127.97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731585.9</v>
      </c>
      <c r="G212" s="41">
        <f t="shared" si="1"/>
        <v>401162.32</v>
      </c>
      <c r="H212" s="41">
        <f t="shared" si="1"/>
        <v>237913.08000000002</v>
      </c>
      <c r="I212" s="41">
        <f t="shared" si="1"/>
        <v>57342.799999999996</v>
      </c>
      <c r="J212" s="41">
        <f t="shared" si="1"/>
        <v>6760.23</v>
      </c>
      <c r="K212" s="41">
        <f t="shared" si="1"/>
        <v>1857.12</v>
      </c>
      <c r="L212" s="41">
        <f t="shared" si="1"/>
        <v>1436621.4499999997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313001.52</v>
      </c>
      <c r="I216" s="18"/>
      <c r="J216" s="18"/>
      <c r="K216" s="18"/>
      <c r="L216" s="19">
        <f>SUM(F216:K216)</f>
        <v>313001.52</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6"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2073.9299999999998</v>
      </c>
      <c r="G223" s="18">
        <v>151.1</v>
      </c>
      <c r="H223" s="18">
        <v>22131.53</v>
      </c>
      <c r="I223" s="18"/>
      <c r="J223" s="18"/>
      <c r="K223" s="18">
        <v>337.61</v>
      </c>
      <c r="L223" s="19">
        <f t="shared" si="2"/>
        <v>24694.17</v>
      </c>
      <c r="M223" s="8"/>
      <c r="N223" s="266"/>
    </row>
    <row r="224" spans="1:14" s="3" customFormat="1" ht="12.2" customHeight="1" x14ac:dyDescent="0.15">
      <c r="A224" s="1" t="s">
        <v>445</v>
      </c>
      <c r="B224" s="2" t="s">
        <v>346</v>
      </c>
      <c r="C224" s="2" t="s">
        <v>297</v>
      </c>
      <c r="D224" s="2" t="s">
        <v>431</v>
      </c>
      <c r="E224" s="6">
        <v>2400</v>
      </c>
      <c r="F224" s="4"/>
      <c r="G224" s="4"/>
      <c r="H224" s="4"/>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v>10306.69</v>
      </c>
      <c r="G227" s="18">
        <v>8248.18</v>
      </c>
      <c r="H227" s="18">
        <v>1333.89</v>
      </c>
      <c r="I227" s="18">
        <v>2970.99</v>
      </c>
      <c r="J227" s="18"/>
      <c r="K227" s="18"/>
      <c r="L227" s="19">
        <f>SUM(F227:K227)</f>
        <v>22859.75</v>
      </c>
      <c r="M227" s="8"/>
      <c r="N227" s="266"/>
    </row>
    <row r="228" spans="1:14" s="3" customFormat="1" ht="12.2" customHeight="1" x14ac:dyDescent="0.15">
      <c r="A228" s="1" t="s">
        <v>449</v>
      </c>
      <c r="B228" s="2" t="s">
        <v>346</v>
      </c>
      <c r="C228" s="2" t="s">
        <v>343</v>
      </c>
      <c r="D228" s="2" t="s">
        <v>431</v>
      </c>
      <c r="E228" s="6">
        <v>2800</v>
      </c>
      <c r="F228" s="18"/>
      <c r="G228" s="18"/>
      <c r="H228" s="18">
        <v>36.21</v>
      </c>
      <c r="I228" s="18"/>
      <c r="J228" s="18"/>
      <c r="K228" s="18"/>
      <c r="L228" s="19">
        <f>SUM(F228:K228)</f>
        <v>36.21</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12380.62</v>
      </c>
      <c r="G230" s="41">
        <f>SUM(G216:G229)</f>
        <v>8399.2800000000007</v>
      </c>
      <c r="H230" s="41">
        <f>SUM(H216:H229)</f>
        <v>336503.15000000008</v>
      </c>
      <c r="I230" s="41">
        <f>SUM(I216:I229)</f>
        <v>2970.99</v>
      </c>
      <c r="J230" s="41">
        <f>SUM(J216:J229)</f>
        <v>0</v>
      </c>
      <c r="K230" s="41">
        <f t="shared" si="3"/>
        <v>337.61</v>
      </c>
      <c r="L230" s="41">
        <f t="shared" si="3"/>
        <v>360591.65</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658220</v>
      </c>
      <c r="I234" s="18"/>
      <c r="J234" s="18"/>
      <c r="K234" s="18"/>
      <c r="L234" s="19">
        <f>SUM(F234:K234)</f>
        <v>658220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3196.62</v>
      </c>
      <c r="G241" s="18">
        <v>232.9</v>
      </c>
      <c r="H241" s="18">
        <v>34111.589999999997</v>
      </c>
      <c r="I241" s="18"/>
      <c r="J241" s="18"/>
      <c r="K241" s="18">
        <v>520.36</v>
      </c>
      <c r="L241" s="19">
        <f t="shared" si="4"/>
        <v>38061.469999999994</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v>15885.83</v>
      </c>
      <c r="G245" s="18">
        <v>12713.03</v>
      </c>
      <c r="H245" s="18">
        <v>2055.9299999999998</v>
      </c>
      <c r="I245" s="18">
        <v>4579.22</v>
      </c>
      <c r="J245" s="18"/>
      <c r="K245" s="18"/>
      <c r="L245" s="19">
        <f t="shared" si="4"/>
        <v>35234.01</v>
      </c>
      <c r="M245" s="8"/>
      <c r="N245" s="266"/>
    </row>
    <row r="246" spans="1:14" s="3" customFormat="1" ht="12.2" customHeight="1" x14ac:dyDescent="0.15">
      <c r="A246" s="1" t="s">
        <v>449</v>
      </c>
      <c r="B246" s="2" t="s">
        <v>350</v>
      </c>
      <c r="C246" s="2" t="s">
        <v>343</v>
      </c>
      <c r="D246" s="2" t="s">
        <v>431</v>
      </c>
      <c r="E246" s="6">
        <v>2800</v>
      </c>
      <c r="F246" s="18"/>
      <c r="G246" s="18"/>
      <c r="H246" s="18">
        <v>55.81</v>
      </c>
      <c r="I246" s="18"/>
      <c r="J246" s="18"/>
      <c r="K246" s="18"/>
      <c r="L246" s="19">
        <f>SUM(F246:K246)</f>
        <v>55.81</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19082.45</v>
      </c>
      <c r="G248" s="41">
        <f t="shared" si="5"/>
        <v>12945.93</v>
      </c>
      <c r="H248" s="41">
        <f t="shared" si="5"/>
        <v>694443.33000000007</v>
      </c>
      <c r="I248" s="41">
        <f t="shared" si="5"/>
        <v>4579.22</v>
      </c>
      <c r="J248" s="41">
        <f t="shared" si="5"/>
        <v>0</v>
      </c>
      <c r="K248" s="41">
        <f t="shared" si="5"/>
        <v>520.36</v>
      </c>
      <c r="L248" s="41">
        <f t="shared" si="5"/>
        <v>731571.29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6009</v>
      </c>
      <c r="I256" s="18"/>
      <c r="J256" s="18"/>
      <c r="K256" s="18"/>
      <c r="L256" s="19">
        <f t="shared" si="6"/>
        <v>6009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6009</v>
      </c>
      <c r="I257" s="41">
        <f t="shared" si="7"/>
        <v>0</v>
      </c>
      <c r="J257" s="41">
        <f t="shared" si="7"/>
        <v>0</v>
      </c>
      <c r="K257" s="41">
        <f t="shared" si="7"/>
        <v>0</v>
      </c>
      <c r="L257" s="41">
        <f>SUM(F257:K257)</f>
        <v>6009</v>
      </c>
      <c r="M257" s="8"/>
      <c r="N257" s="266"/>
    </row>
    <row r="258" spans="1:14" s="3" customFormat="1" ht="12.2" customHeight="1" thickTop="1" x14ac:dyDescent="0.15">
      <c r="A258" s="38" t="s">
        <v>462</v>
      </c>
      <c r="B258" s="40">
        <v>10</v>
      </c>
      <c r="C258" s="40">
        <v>8</v>
      </c>
      <c r="D258" s="39" t="s">
        <v>431</v>
      </c>
      <c r="E258" s="40"/>
      <c r="F258" s="41">
        <f t="shared" ref="F258:L258" si="8">F212+F230+F248+F257</f>
        <v>763048.97</v>
      </c>
      <c r="G258" s="41">
        <f t="shared" si="8"/>
        <v>422507.53</v>
      </c>
      <c r="H258" s="41">
        <f t="shared" si="8"/>
        <v>1274868.56</v>
      </c>
      <c r="I258" s="41">
        <f t="shared" si="8"/>
        <v>64893.009999999995</v>
      </c>
      <c r="J258" s="41">
        <f t="shared" si="8"/>
        <v>6760.23</v>
      </c>
      <c r="K258" s="41">
        <f t="shared" si="8"/>
        <v>2715.09</v>
      </c>
      <c r="L258" s="41">
        <f t="shared" si="8"/>
        <v>2534793.3899999997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13864.11</v>
      </c>
      <c r="L264" s="19">
        <f>SUM(F264:K264)</f>
        <v>13864.11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43000</v>
      </c>
      <c r="L267" s="19">
        <f t="shared" si="9"/>
        <v>43000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56864.11</v>
      </c>
      <c r="L271" s="41">
        <f t="shared" si="9"/>
        <v>56864.11</v>
      </c>
      <c r="M271" s="8"/>
      <c r="N271" s="266"/>
    </row>
    <row r="272" spans="1:14" s="34" customFormat="1" ht="12.2" customHeight="1" thickTop="1" x14ac:dyDescent="0.2">
      <c r="A272" s="43" t="s">
        <v>464</v>
      </c>
      <c r="B272" s="40">
        <v>10</v>
      </c>
      <c r="C272" s="40">
        <v>18</v>
      </c>
      <c r="D272" s="39" t="s">
        <v>431</v>
      </c>
      <c r="E272" s="40"/>
      <c r="F272" s="42">
        <f t="shared" ref="F272:L272" si="11">F258+F271</f>
        <v>763048.97</v>
      </c>
      <c r="G272" s="42">
        <f t="shared" si="11"/>
        <v>422507.53</v>
      </c>
      <c r="H272" s="42">
        <f t="shared" si="11"/>
        <v>1274868.56</v>
      </c>
      <c r="I272" s="42">
        <f t="shared" si="11"/>
        <v>64893.009999999995</v>
      </c>
      <c r="J272" s="42">
        <f t="shared" si="11"/>
        <v>6760.23</v>
      </c>
      <c r="K272" s="42">
        <f t="shared" si="11"/>
        <v>59579.199999999997</v>
      </c>
      <c r="L272" s="42">
        <f t="shared" si="11"/>
        <v>2591657.4999999995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25414.41</v>
      </c>
      <c r="G277" s="18">
        <v>3982.67</v>
      </c>
      <c r="H277" s="18"/>
      <c r="I277" s="18">
        <v>649.79</v>
      </c>
      <c r="J277" s="18">
        <v>3323.32</v>
      </c>
      <c r="K277" s="18"/>
      <c r="L277" s="19">
        <f>SUM(F277:K277)</f>
        <v>33370.19</v>
      </c>
      <c r="M277" s="8"/>
      <c r="N277" s="266"/>
    </row>
    <row r="278" spans="1:14" s="3" customFormat="1" ht="12.2" customHeight="1" x14ac:dyDescent="0.15">
      <c r="A278" s="1" t="s">
        <v>439</v>
      </c>
      <c r="B278" s="2" t="s">
        <v>357</v>
      </c>
      <c r="C278" s="2" t="s">
        <v>291</v>
      </c>
      <c r="D278" s="2" t="s">
        <v>431</v>
      </c>
      <c r="E278" s="6">
        <v>1200</v>
      </c>
      <c r="F278" s="18">
        <v>7228.61</v>
      </c>
      <c r="G278" s="18">
        <v>754.72</v>
      </c>
      <c r="H278" s="18"/>
      <c r="I278" s="18">
        <v>487.99</v>
      </c>
      <c r="J278" s="18">
        <v>1140.3599999999999</v>
      </c>
      <c r="K278" s="18"/>
      <c r="L278" s="19">
        <f>SUM(F278:K278)</f>
        <v>9611.68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1000</v>
      </c>
      <c r="G282" s="18">
        <v>254.5</v>
      </c>
      <c r="H282" s="18">
        <v>560</v>
      </c>
      <c r="I282" s="18">
        <v>439.82</v>
      </c>
      <c r="J282" s="18"/>
      <c r="K282" s="18"/>
      <c r="L282" s="19">
        <f t="shared" ref="L282:L288" si="12">SUM(F282:K282)</f>
        <v>2254.3200000000002</v>
      </c>
      <c r="M282" s="8"/>
      <c r="N282" s="266"/>
    </row>
    <row r="283" spans="1:14" s="3" customFormat="1" ht="12.2" customHeight="1" x14ac:dyDescent="0.15">
      <c r="A283" s="1" t="s">
        <v>443</v>
      </c>
      <c r="B283" s="2" t="s">
        <v>357</v>
      </c>
      <c r="C283" s="2" t="s">
        <v>295</v>
      </c>
      <c r="D283" s="2" t="s">
        <v>431</v>
      </c>
      <c r="E283" s="6">
        <v>2200</v>
      </c>
      <c r="F283" s="18">
        <v>3225</v>
      </c>
      <c r="G283" s="18">
        <v>597.16</v>
      </c>
      <c r="H283" s="18">
        <v>5734.27</v>
      </c>
      <c r="I283" s="18"/>
      <c r="J283" s="18">
        <v>4129.8500000000004</v>
      </c>
      <c r="K283" s="18"/>
      <c r="L283" s="19">
        <f t="shared" si="12"/>
        <v>13686.28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v>1837.65</v>
      </c>
      <c r="J288" s="18">
        <v>2518.5</v>
      </c>
      <c r="K288" s="18"/>
      <c r="L288" s="19">
        <f t="shared" si="12"/>
        <v>4356.1499999999996</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36868.020000000004</v>
      </c>
      <c r="G291" s="42">
        <f t="shared" si="13"/>
        <v>5589.05</v>
      </c>
      <c r="H291" s="42">
        <f t="shared" si="13"/>
        <v>6294.27</v>
      </c>
      <c r="I291" s="42">
        <f t="shared" si="13"/>
        <v>3415.25</v>
      </c>
      <c r="J291" s="42">
        <f t="shared" si="13"/>
        <v>11112.03</v>
      </c>
      <c r="K291" s="42">
        <f t="shared" si="13"/>
        <v>0</v>
      </c>
      <c r="L291" s="41">
        <f t="shared" si="13"/>
        <v>63278.62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36868.020000000004</v>
      </c>
      <c r="G339" s="41">
        <f t="shared" si="20"/>
        <v>5589.05</v>
      </c>
      <c r="H339" s="41">
        <f t="shared" si="20"/>
        <v>6294.27</v>
      </c>
      <c r="I339" s="41">
        <f t="shared" si="20"/>
        <v>3415.25</v>
      </c>
      <c r="J339" s="41">
        <f t="shared" si="20"/>
        <v>11112.03</v>
      </c>
      <c r="K339" s="41">
        <f t="shared" si="20"/>
        <v>0</v>
      </c>
      <c r="L339" s="41">
        <f t="shared" si="20"/>
        <v>63278.62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36868.020000000004</v>
      </c>
      <c r="G353" s="41">
        <f>G339</f>
        <v>5589.05</v>
      </c>
      <c r="H353" s="41">
        <f>H339</f>
        <v>6294.27</v>
      </c>
      <c r="I353" s="41">
        <f>I339</f>
        <v>3415.25</v>
      </c>
      <c r="J353" s="41">
        <f>J339</f>
        <v>11112.03</v>
      </c>
      <c r="K353" s="47">
        <f>K339+K352</f>
        <v>0</v>
      </c>
      <c r="L353" s="41">
        <f>L339+L352</f>
        <v>63278.62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12660.65</v>
      </c>
      <c r="G359" s="18">
        <v>987.48</v>
      </c>
      <c r="H359" s="18">
        <v>1716.95</v>
      </c>
      <c r="I359" s="18">
        <v>15770.55</v>
      </c>
      <c r="J359" s="18"/>
      <c r="K359" s="18"/>
      <c r="L359" s="13">
        <f>SUM(F359:K359)</f>
        <v>31135.629999999997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12660.65</v>
      </c>
      <c r="G363" s="47">
        <f t="shared" si="22"/>
        <v>987.48</v>
      </c>
      <c r="H363" s="47">
        <f t="shared" si="22"/>
        <v>1716.95</v>
      </c>
      <c r="I363" s="47">
        <f t="shared" si="22"/>
        <v>15770.55</v>
      </c>
      <c r="J363" s="47">
        <f t="shared" si="22"/>
        <v>0</v>
      </c>
      <c r="K363" s="47">
        <f t="shared" si="22"/>
        <v>0</v>
      </c>
      <c r="L363" s="47">
        <f t="shared" si="22"/>
        <v>31135.629999999997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15739.35</v>
      </c>
      <c r="G368" s="18"/>
      <c r="H368" s="18"/>
      <c r="I368" s="56">
        <f>SUM(F368:H368)</f>
        <v>15739.35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31.2</v>
      </c>
      <c r="G369" s="63"/>
      <c r="H369" s="63"/>
      <c r="I369" s="56">
        <f>SUM(F369:H369)</f>
        <v>31.2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15770.550000000001</v>
      </c>
      <c r="G370" s="47">
        <f>SUM(G368:G369)</f>
        <v>0</v>
      </c>
      <c r="H370" s="47">
        <f>SUM(H368:H369)</f>
        <v>0</v>
      </c>
      <c r="I370" s="47">
        <f>SUM(I368:I369)</f>
        <v>15770.550000000001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v>15000</v>
      </c>
      <c r="H391" s="18">
        <v>702.66</v>
      </c>
      <c r="I391" s="18"/>
      <c r="J391" s="24" t="s">
        <v>288</v>
      </c>
      <c r="K391" s="24" t="s">
        <v>288</v>
      </c>
      <c r="L391" s="56">
        <f t="shared" si="25"/>
        <v>15702.66</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15000</v>
      </c>
      <c r="H394" s="139">
        <f>SUM(H388:H393)</f>
        <v>702.66</v>
      </c>
      <c r="I394" s="65">
        <f>SUM(I388:I393)</f>
        <v>0</v>
      </c>
      <c r="J394" s="45" t="s">
        <v>288</v>
      </c>
      <c r="K394" s="45" t="s">
        <v>288</v>
      </c>
      <c r="L394" s="47">
        <f>SUM(L388:L393)</f>
        <v>15702.66</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700.33</v>
      </c>
      <c r="I397" s="18"/>
      <c r="J397" s="24" t="s">
        <v>288</v>
      </c>
      <c r="K397" s="24" t="s">
        <v>288</v>
      </c>
      <c r="L397" s="56">
        <f t="shared" si="26"/>
        <v>700.33</v>
      </c>
      <c r="M397" s="8"/>
      <c r="N397" s="266"/>
    </row>
    <row r="398" spans="1:14" s="3" customFormat="1" ht="12.2" customHeight="1" x14ac:dyDescent="0.15">
      <c r="A398" s="79" t="s">
        <v>515</v>
      </c>
      <c r="B398" s="2" t="s">
        <v>381</v>
      </c>
      <c r="C398" s="6">
        <v>10</v>
      </c>
      <c r="D398" s="2" t="s">
        <v>432</v>
      </c>
      <c r="E398" s="6"/>
      <c r="F398" s="18"/>
      <c r="G398" s="18">
        <v>25000</v>
      </c>
      <c r="H398" s="18">
        <v>1306.23</v>
      </c>
      <c r="I398" s="18"/>
      <c r="J398" s="24" t="s">
        <v>288</v>
      </c>
      <c r="K398" s="24" t="s">
        <v>288</v>
      </c>
      <c r="L398" s="56">
        <f t="shared" si="26"/>
        <v>26306.23</v>
      </c>
      <c r="M398" s="8"/>
      <c r="N398" s="266"/>
    </row>
    <row r="399" spans="1:14" s="3" customFormat="1" ht="12.2" customHeight="1" x14ac:dyDescent="0.15">
      <c r="A399" s="79" t="s">
        <v>558</v>
      </c>
      <c r="B399" s="2" t="s">
        <v>381</v>
      </c>
      <c r="C399" s="6">
        <v>11</v>
      </c>
      <c r="D399" s="2" t="s">
        <v>432</v>
      </c>
      <c r="E399" s="6"/>
      <c r="F399" s="18"/>
      <c r="G399" s="18"/>
      <c r="H399" s="18">
        <v>699.18</v>
      </c>
      <c r="I399" s="18"/>
      <c r="J399" s="24" t="s">
        <v>288</v>
      </c>
      <c r="K399" s="24" t="s">
        <v>288</v>
      </c>
      <c r="L399" s="56">
        <f t="shared" si="26"/>
        <v>699.18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3000</v>
      </c>
      <c r="H401" s="18">
        <v>705.7</v>
      </c>
      <c r="I401" s="18"/>
      <c r="J401" s="24" t="s">
        <v>288</v>
      </c>
      <c r="K401" s="24" t="s">
        <v>288</v>
      </c>
      <c r="L401" s="56">
        <f t="shared" si="26"/>
        <v>3705.7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28000</v>
      </c>
      <c r="H402" s="47">
        <f>SUM(H396:H401)</f>
        <v>3411.4399999999996</v>
      </c>
      <c r="I402" s="47">
        <f>SUM(I396:I401)</f>
        <v>0</v>
      </c>
      <c r="J402" s="45" t="s">
        <v>288</v>
      </c>
      <c r="K402" s="45" t="s">
        <v>288</v>
      </c>
      <c r="L402" s="47">
        <f>SUM(L396:L401)</f>
        <v>31411.440000000002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43000</v>
      </c>
      <c r="H409" s="47">
        <f>H394+H402+H408</f>
        <v>4114.0999999999995</v>
      </c>
      <c r="I409" s="47">
        <f>I394+I402+I408</f>
        <v>0</v>
      </c>
      <c r="J409" s="24" t="s">
        <v>288</v>
      </c>
      <c r="K409" s="24" t="s">
        <v>288</v>
      </c>
      <c r="L409" s="47">
        <f>L394+L402+L408</f>
        <v>47114.100000000006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v>9000</v>
      </c>
      <c r="L427" s="56">
        <f t="shared" si="29"/>
        <v>9000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9000</v>
      </c>
      <c r="L428" s="47">
        <f t="shared" si="30"/>
        <v>9000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9000</v>
      </c>
      <c r="L435" s="47">
        <f t="shared" si="32"/>
        <v>9000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72476.350000000006</v>
      </c>
      <c r="G440" s="18">
        <v>385461.41</v>
      </c>
      <c r="H440" s="18"/>
      <c r="I440" s="56">
        <f t="shared" ref="I440:I446" si="33">SUM(F440:H440)</f>
        <v>457937.76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72476.350000000006</v>
      </c>
      <c r="G447" s="13">
        <f>SUM(G440:G446)</f>
        <v>385461.41</v>
      </c>
      <c r="H447" s="13">
        <f>SUM(H440:H446)</f>
        <v>0</v>
      </c>
      <c r="I447" s="13">
        <f>SUM(I440:I446)</f>
        <v>457937.76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72476.350000000006</v>
      </c>
      <c r="G460" s="18">
        <v>385461.41</v>
      </c>
      <c r="H460" s="18"/>
      <c r="I460" s="56">
        <f t="shared" si="34"/>
        <v>457937.76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72476.350000000006</v>
      </c>
      <c r="G461" s="83">
        <f>SUM(G455:G460)</f>
        <v>385461.41</v>
      </c>
      <c r="H461" s="83">
        <f>SUM(H455:H460)</f>
        <v>0</v>
      </c>
      <c r="I461" s="83">
        <f>SUM(I455:I460)</f>
        <v>457937.76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72476.350000000006</v>
      </c>
      <c r="G462" s="42">
        <f>G453+G461</f>
        <v>385461.41</v>
      </c>
      <c r="H462" s="42">
        <f>H453+H461</f>
        <v>0</v>
      </c>
      <c r="I462" s="42">
        <f>I453+I461</f>
        <v>457937.76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280474.07</v>
      </c>
      <c r="G466" s="18"/>
      <c r="H466" s="18"/>
      <c r="I466" s="18"/>
      <c r="J466" s="18">
        <v>419823.66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2541758.4700000002</v>
      </c>
      <c r="G469" s="18">
        <v>31135.63</v>
      </c>
      <c r="H469" s="18">
        <v>67338.69</v>
      </c>
      <c r="I469" s="18"/>
      <c r="J469" s="18">
        <v>47114.1</v>
      </c>
      <c r="K469" s="24" t="s">
        <v>288</v>
      </c>
      <c r="L469" s="24" t="s">
        <v>288</v>
      </c>
      <c r="N469" s="265"/>
    </row>
    <row r="470" spans="1:14" s="52" customFormat="1" ht="12.2" customHeight="1" x14ac:dyDescent="0.2">
      <c r="A470" s="93" t="s">
        <v>611</v>
      </c>
      <c r="B470" s="75">
        <v>19</v>
      </c>
      <c r="C470" s="80">
        <v>3</v>
      </c>
      <c r="D470" s="2" t="s">
        <v>432</v>
      </c>
      <c r="E470" s="80"/>
      <c r="F470" s="18"/>
      <c r="G470" s="18"/>
      <c r="H470" s="18">
        <v>2633.56</v>
      </c>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2541758.4700000002</v>
      </c>
      <c r="G471" s="53">
        <f>SUM(G469:G470)</f>
        <v>31135.63</v>
      </c>
      <c r="H471" s="53">
        <f>SUM(H469:H470)</f>
        <v>69972.25</v>
      </c>
      <c r="I471" s="53">
        <f>SUM(I469:I470)</f>
        <v>0</v>
      </c>
      <c r="J471" s="53">
        <f>SUM(J469:J470)</f>
        <v>47114.1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2591657.5</v>
      </c>
      <c r="G473" s="18">
        <v>31135.63</v>
      </c>
      <c r="H473" s="18">
        <v>63278.62</v>
      </c>
      <c r="I473" s="18"/>
      <c r="J473" s="18">
        <v>9000</v>
      </c>
      <c r="K473" s="24" t="s">
        <v>288</v>
      </c>
      <c r="L473" s="24" t="s">
        <v>288</v>
      </c>
      <c r="N473" s="265"/>
    </row>
    <row r="474" spans="1:14" s="52" customFormat="1" ht="12.2" customHeight="1" x14ac:dyDescent="0.2">
      <c r="A474" s="93" t="s">
        <v>613</v>
      </c>
      <c r="B474" s="75">
        <v>19</v>
      </c>
      <c r="C474" s="80">
        <v>6</v>
      </c>
      <c r="D474" s="2" t="s">
        <v>432</v>
      </c>
      <c r="E474" s="80"/>
      <c r="F474" s="18">
        <v>6069.89</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2597727.39</v>
      </c>
      <c r="G475" s="53">
        <f>SUM(G473:G474)</f>
        <v>31135.63</v>
      </c>
      <c r="H475" s="53">
        <f>SUM(H473:H474)</f>
        <v>63278.62</v>
      </c>
      <c r="I475" s="53">
        <f>SUM(I473:I474)</f>
        <v>0</v>
      </c>
      <c r="J475" s="53">
        <f>SUM(J473:J474)</f>
        <v>9000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224505.14999999991</v>
      </c>
      <c r="G477" s="53">
        <f>(G466+G471)- G475</f>
        <v>0</v>
      </c>
      <c r="H477" s="53">
        <f>(H466+H471)- H475</f>
        <v>6693.6299999999974</v>
      </c>
      <c r="I477" s="53">
        <f>(I466+I471)- I475</f>
        <v>0</v>
      </c>
      <c r="J477" s="53">
        <f>(J466+J471)- J475</f>
        <v>457937.75999999995</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30090.92</v>
      </c>
      <c r="G522" s="18">
        <v>2585.17</v>
      </c>
      <c r="H522" s="18">
        <v>3894.35</v>
      </c>
      <c r="I522" s="18">
        <v>487.99</v>
      </c>
      <c r="J522" s="18">
        <v>1140.3599999999999</v>
      </c>
      <c r="K522" s="18"/>
      <c r="L522" s="88">
        <f>SUM(F522:K522)</f>
        <v>38198.789999999994</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30090.92</v>
      </c>
      <c r="G525" s="108">
        <f t="shared" ref="G525:L525" si="36">SUM(G522:G524)</f>
        <v>2585.17</v>
      </c>
      <c r="H525" s="108">
        <f t="shared" si="36"/>
        <v>3894.35</v>
      </c>
      <c r="I525" s="108">
        <f t="shared" si="36"/>
        <v>487.99</v>
      </c>
      <c r="J525" s="108">
        <f t="shared" si="36"/>
        <v>1140.3599999999999</v>
      </c>
      <c r="K525" s="108">
        <f t="shared" si="36"/>
        <v>0</v>
      </c>
      <c r="L525" s="89">
        <f t="shared" si="36"/>
        <v>38198.789999999994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24419.79</v>
      </c>
      <c r="I527" s="18">
        <v>79.92</v>
      </c>
      <c r="J527" s="18"/>
      <c r="K527" s="18"/>
      <c r="L527" s="88">
        <f>SUM(F527:K527)</f>
        <v>24499.71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24419.79</v>
      </c>
      <c r="I530" s="89">
        <f t="shared" si="37"/>
        <v>79.92</v>
      </c>
      <c r="J530" s="89">
        <f t="shared" si="37"/>
        <v>0</v>
      </c>
      <c r="K530" s="89">
        <f t="shared" si="37"/>
        <v>0</v>
      </c>
      <c r="L530" s="89">
        <f t="shared" si="37"/>
        <v>24499.71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11477.72</v>
      </c>
      <c r="I532" s="18"/>
      <c r="J532" s="18"/>
      <c r="K532" s="18"/>
      <c r="L532" s="88">
        <f>SUM(F532:K532)</f>
        <v>11477.72</v>
      </c>
      <c r="M532" s="8"/>
      <c r="N532" s="266"/>
    </row>
    <row r="533" spans="1:14" s="3" customFormat="1" ht="12.2" customHeight="1" x14ac:dyDescent="0.15">
      <c r="A533" s="22" t="s">
        <v>634</v>
      </c>
      <c r="B533" s="105">
        <v>21</v>
      </c>
      <c r="C533" s="105">
        <v>10</v>
      </c>
      <c r="D533" s="2" t="s">
        <v>432</v>
      </c>
      <c r="E533" s="105"/>
      <c r="F533" s="18"/>
      <c r="G533" s="18"/>
      <c r="H533" s="18">
        <v>3247.78</v>
      </c>
      <c r="I533" s="18"/>
      <c r="J533" s="18"/>
      <c r="K533" s="18"/>
      <c r="L533" s="88">
        <f>SUM(F533:K533)</f>
        <v>3247.78</v>
      </c>
      <c r="M533" s="8"/>
      <c r="N533" s="266"/>
    </row>
    <row r="534" spans="1:14" s="3" customFormat="1" ht="12.2" customHeight="1" thickBot="1" x14ac:dyDescent="0.2">
      <c r="A534" s="22" t="s">
        <v>635</v>
      </c>
      <c r="B534" s="105">
        <v>21</v>
      </c>
      <c r="C534" s="105">
        <v>11</v>
      </c>
      <c r="D534" s="2" t="s">
        <v>432</v>
      </c>
      <c r="E534" s="105"/>
      <c r="F534" s="18"/>
      <c r="G534" s="18"/>
      <c r="H534" s="18">
        <v>5005.84</v>
      </c>
      <c r="I534" s="18"/>
      <c r="J534" s="18"/>
      <c r="K534" s="18"/>
      <c r="L534" s="88">
        <f>SUM(F534:K534)</f>
        <v>5005.84</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19731.34</v>
      </c>
      <c r="I535" s="89">
        <f t="shared" si="38"/>
        <v>0</v>
      </c>
      <c r="J535" s="89">
        <f t="shared" si="38"/>
        <v>0</v>
      </c>
      <c r="K535" s="89">
        <f t="shared" si="38"/>
        <v>0</v>
      </c>
      <c r="L535" s="89">
        <f t="shared" si="38"/>
        <v>19731.34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30090.92</v>
      </c>
      <c r="G546" s="89">
        <f t="shared" ref="G546:L546" si="41">G525+G530+G535+G540+G545</f>
        <v>2585.17</v>
      </c>
      <c r="H546" s="89">
        <f t="shared" si="41"/>
        <v>48045.479999999996</v>
      </c>
      <c r="I546" s="89">
        <f t="shared" si="41"/>
        <v>567.91</v>
      </c>
      <c r="J546" s="89">
        <f t="shared" si="41"/>
        <v>1140.3599999999999</v>
      </c>
      <c r="K546" s="89">
        <f t="shared" si="41"/>
        <v>0</v>
      </c>
      <c r="L546" s="89">
        <f t="shared" si="41"/>
        <v>82429.84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38198.789999999994</v>
      </c>
      <c r="G550" s="87">
        <f>L527</f>
        <v>24499.71</v>
      </c>
      <c r="H550" s="87">
        <f>L532</f>
        <v>11477.72</v>
      </c>
      <c r="I550" s="87">
        <f>L537</f>
        <v>0</v>
      </c>
      <c r="J550" s="87">
        <f>L542</f>
        <v>0</v>
      </c>
      <c r="K550" s="87">
        <f>SUM(F550:J550)</f>
        <v>74176.219999999987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3247.78</v>
      </c>
      <c r="I551" s="87">
        <f>L538</f>
        <v>0</v>
      </c>
      <c r="J551" s="87">
        <f>L543</f>
        <v>0</v>
      </c>
      <c r="K551" s="87">
        <f>SUM(F551:J551)</f>
        <v>3247.78</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5005.84</v>
      </c>
      <c r="I552" s="87">
        <f>L539</f>
        <v>0</v>
      </c>
      <c r="J552" s="87">
        <f>L544</f>
        <v>0</v>
      </c>
      <c r="K552" s="87">
        <f>SUM(F552:J552)</f>
        <v>5005.84</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38198.789999999994</v>
      </c>
      <c r="G553" s="89">
        <f t="shared" si="42"/>
        <v>24499.71</v>
      </c>
      <c r="H553" s="89">
        <f t="shared" si="42"/>
        <v>19731.34</v>
      </c>
      <c r="I553" s="89">
        <f t="shared" si="42"/>
        <v>0</v>
      </c>
      <c r="J553" s="89">
        <f t="shared" si="42"/>
        <v>0</v>
      </c>
      <c r="K553" s="89">
        <f t="shared" si="42"/>
        <v>82429.839999999982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313001.52</v>
      </c>
      <c r="H576" s="18">
        <v>658220</v>
      </c>
      <c r="I576" s="87">
        <f>SUM(F576:H576)</f>
        <v>971221.52</v>
      </c>
      <c r="J576" s="24" t="s">
        <v>288</v>
      </c>
      <c r="K576" s="24" t="s">
        <v>288</v>
      </c>
      <c r="L576" s="24" t="s">
        <v>288</v>
      </c>
      <c r="M576" s="8">
        <v>971221.52</v>
      </c>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80786.850000000006</v>
      </c>
      <c r="I592" s="18">
        <v>22859.75</v>
      </c>
      <c r="J592" s="18">
        <v>35234.01</v>
      </c>
      <c r="K592" s="104">
        <f t="shared" ref="K592:K598" si="48">SUM(H592:J592)</f>
        <v>138880.61000000002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911.39</v>
      </c>
      <c r="I596" s="18">
        <v>0</v>
      </c>
      <c r="J596" s="18">
        <v>0</v>
      </c>
      <c r="K596" s="104">
        <f t="shared" si="48"/>
        <v>911.39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81698.240000000005</v>
      </c>
      <c r="I599" s="108">
        <f>SUM(I592:I598)</f>
        <v>22859.75</v>
      </c>
      <c r="J599" s="108">
        <f>SUM(J592:J598)</f>
        <v>35234.01</v>
      </c>
      <c r="K599" s="108">
        <f>SUM(K592:K598)</f>
        <v>139792.00000000003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17872.259999999998</v>
      </c>
      <c r="I605" s="18"/>
      <c r="J605" s="18"/>
      <c r="K605" s="104">
        <f>SUM(H605:J605)</f>
        <v>17872.259999999998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17872.259999999998</v>
      </c>
      <c r="I606" s="108">
        <f>SUM(I603:I605)</f>
        <v>0</v>
      </c>
      <c r="J606" s="108">
        <f>SUM(J603:J605)</f>
        <v>0</v>
      </c>
      <c r="K606" s="108">
        <f>SUM(K603:K605)</f>
        <v>17872.259999999998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251005.06000000003</v>
      </c>
      <c r="H618" s="109">
        <f>SUM(F52)</f>
        <v>251005.06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9424.39</v>
      </c>
      <c r="H619" s="109">
        <f>SUM(G52)</f>
        <v>9424.39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13964.64</v>
      </c>
      <c r="H620" s="109">
        <f>SUM(H52)</f>
        <v>13964.64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457937.76</v>
      </c>
      <c r="H622" s="109">
        <f>SUM(J52)</f>
        <v>457937.76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224505.15</v>
      </c>
      <c r="H623" s="109">
        <f>F477</f>
        <v>224505.14999999991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6693.63</v>
      </c>
      <c r="H625" s="109">
        <f>H477</f>
        <v>6693.6299999999974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457937.76</v>
      </c>
      <c r="H627" s="109">
        <f>J477</f>
        <v>457937.75999999995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2541758.4700000002</v>
      </c>
      <c r="H628" s="104">
        <f>SUM(F469)</f>
        <v>2541758.4700000002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31135.63</v>
      </c>
      <c r="H629" s="104">
        <f>SUM(G469)</f>
        <v>31135.63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67338.69</v>
      </c>
      <c r="H630" s="104">
        <f>SUM(H469)</f>
        <v>67338.69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47114.1</v>
      </c>
      <c r="H632" s="104">
        <f>SUM(J469)</f>
        <v>47114.1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2591657.4999999995</v>
      </c>
      <c r="H633" s="104">
        <f>SUM(F473)</f>
        <v>2591657.5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63278.62</v>
      </c>
      <c r="H634" s="104">
        <f>SUM(H473)</f>
        <v>63278.62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15770.55</v>
      </c>
      <c r="H635" s="104">
        <f>I370</f>
        <v>15770.550000000001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31135.629999999997</v>
      </c>
      <c r="H636" s="104">
        <f>SUM(G473)</f>
        <v>31135.63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47114.100000000006</v>
      </c>
      <c r="H638" s="164">
        <f>SUM(J469)</f>
        <v>47114.1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9000</v>
      </c>
      <c r="H639" s="164">
        <f>SUM(J473)</f>
        <v>9000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72476.350000000006</v>
      </c>
      <c r="H640" s="104">
        <f>SUM(F462)</f>
        <v>72476.350000000006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385461.41</v>
      </c>
      <c r="H641" s="104">
        <f>SUM(G462)</f>
        <v>385461.41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457937.76</v>
      </c>
      <c r="H643" s="104">
        <f>SUM(I462)</f>
        <v>457937.76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4114.1000000000004</v>
      </c>
      <c r="H645" s="104">
        <f>H409</f>
        <v>4114.0999999999995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43000</v>
      </c>
      <c r="H646" s="104">
        <f>G409</f>
        <v>43000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47114.1</v>
      </c>
      <c r="H647" s="104">
        <f>L409</f>
        <v>47114.100000000006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139792.00000000003</v>
      </c>
      <c r="H648" s="104">
        <f>L209+L227+L245</f>
        <v>139792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17872.259999999998</v>
      </c>
      <c r="H649" s="104">
        <f>(J258+J339)-(J256+J337)</f>
        <v>17872.260000000002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81698.239999999991</v>
      </c>
      <c r="H650" s="104">
        <f>H599</f>
        <v>81698.240000000005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22859.75</v>
      </c>
      <c r="H651" s="104">
        <f>I599</f>
        <v>22859.75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35234.01</v>
      </c>
      <c r="H652" s="104">
        <f>J599</f>
        <v>35234.01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13864.11</v>
      </c>
      <c r="H653" s="104">
        <f>K264+K346</f>
        <v>13864.11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43000</v>
      </c>
      <c r="H656" s="104">
        <f>K267+K348</f>
        <v>43000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1531035.6999999997</v>
      </c>
      <c r="G661" s="19">
        <f>(L230+L310+L360)</f>
        <v>360591.65</v>
      </c>
      <c r="H661" s="19">
        <f>(L248+L329+L361)</f>
        <v>731571.29</v>
      </c>
      <c r="I661" s="19">
        <f>SUM(F661:H661)</f>
        <v>2623198.6399999997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83535.889999999985</v>
      </c>
      <c r="G663" s="19">
        <f>(L227+L307)-(J227+J307)</f>
        <v>22859.75</v>
      </c>
      <c r="H663" s="19">
        <f>(L245+L326)-(J245+J326)</f>
        <v>35234.01</v>
      </c>
      <c r="I663" s="19">
        <f>SUM(F663:H663)</f>
        <v>141629.65</v>
      </c>
      <c r="J663"/>
      <c r="K663" s="13"/>
      <c r="L663" s="13"/>
      <c r="M663" s="9"/>
    </row>
    <row r="664" spans="1:13" s="3" customFormat="1" ht="12.2" customHeight="1" x14ac:dyDescent="0.15">
      <c r="A664" s="198" t="s">
        <v>129</v>
      </c>
      <c r="B664" s="169"/>
      <c r="C664" s="169"/>
      <c r="D664" s="169"/>
      <c r="E664" s="169"/>
      <c r="F664" s="199">
        <f>SUM(F576:F588)+SUM(H603:H605)+SUM(L612)</f>
        <v>17872.259999999998</v>
      </c>
      <c r="G664" s="199">
        <f>SUM(G576:G588)+SUM(I603:I605)+L613</f>
        <v>313001.52</v>
      </c>
      <c r="H664" s="199">
        <f>SUM(H576:H588)+SUM(J603:J605)+L614</f>
        <v>658220</v>
      </c>
      <c r="I664" s="19">
        <f>SUM(F664:H664)</f>
        <v>989093.78</v>
      </c>
      <c r="J664" s="13"/>
      <c r="K664" s="13"/>
      <c r="L664" s="13"/>
      <c r="M664" s="9"/>
    </row>
    <row r="665" spans="1:13" s="3" customFormat="1" ht="12.2" customHeight="1" x14ac:dyDescent="0.15">
      <c r="A665" s="1" t="s">
        <v>130</v>
      </c>
      <c r="F665" s="19">
        <f>F661-SUM(F662:F664)</f>
        <v>1429627.5499999998</v>
      </c>
      <c r="G665" s="19">
        <f>G661-SUM(G662:G664)</f>
        <v>24730.380000000005</v>
      </c>
      <c r="H665" s="19">
        <f>H661-SUM(H662:H664)</f>
        <v>38117.280000000028</v>
      </c>
      <c r="I665" s="19">
        <f>I661-SUM(I662:I664)</f>
        <v>1492475.2099999997</v>
      </c>
      <c r="J665" s="13"/>
      <c r="K665" s="13"/>
      <c r="L665" s="13"/>
      <c r="M665" s="8"/>
    </row>
    <row r="666" spans="1:13" s="3" customFormat="1" ht="12.2" customHeight="1" x14ac:dyDescent="0.2">
      <c r="A666" s="1" t="s">
        <v>131</v>
      </c>
      <c r="F666" s="246">
        <v>50.12</v>
      </c>
      <c r="G666" s="247"/>
      <c r="H666" s="247"/>
      <c r="I666" s="19">
        <f>SUM(F666:H666)</f>
        <v>50.12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28524.09</v>
      </c>
      <c r="G668" s="19" t="e">
        <f>ROUND(G665/G666,2)</f>
        <v>#DIV/0!</v>
      </c>
      <c r="H668" s="19" t="e">
        <f>ROUND(H665/H666,2)</f>
        <v>#DIV/0!</v>
      </c>
      <c r="I668" s="19">
        <f>ROUND(I665/I666,2)</f>
        <v>29778.04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-24730.38</v>
      </c>
      <c r="H670" s="18">
        <v>-38117.279999999999</v>
      </c>
      <c r="I670" s="19">
        <f>SUM(F670:H670)</f>
        <v>-62847.66</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28524.09</v>
      </c>
      <c r="G673" s="19" t="e">
        <f>ROUND((G665+G670)/(G666+G671),2)</f>
        <v>#DIV/0!</v>
      </c>
      <c r="H673" s="19" t="e">
        <f>ROUND((H665+H670)/(H666+H671),2)</f>
        <v>#DIV/0!</v>
      </c>
      <c r="I673" s="19">
        <f>ROUND((I665+I670)/(I666+I671),2)</f>
        <v>28524.09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1" zoomScaleNormal="100" workbookViewId="0">
      <selection activeCell="H19" sqref="H19"/>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9806.7099999999991</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26706.3</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29864.66</v>
      </c>
      <c r="F22" s="348"/>
    </row>
    <row r="23" spans="2:8" x14ac:dyDescent="0.25">
      <c r="B23" s="348"/>
      <c r="C23" s="348"/>
      <c r="D23" s="348"/>
      <c r="E23" s="348"/>
      <c r="F23" s="348"/>
    </row>
    <row r="24" spans="2:8" ht="26.25" customHeight="1" x14ac:dyDescent="0.25">
      <c r="B24" s="348"/>
      <c r="C24" s="350" t="s">
        <v>1661</v>
      </c>
      <c r="D24" s="348"/>
      <c r="E24" s="343">
        <v>25025.51</v>
      </c>
      <c r="F24" s="348"/>
    </row>
    <row r="25" spans="2:8" ht="18" x14ac:dyDescent="0.25">
      <c r="B25" s="348"/>
      <c r="C25" s="351"/>
      <c r="D25" s="348"/>
      <c r="E25" s="348"/>
      <c r="F25" s="348"/>
    </row>
    <row r="26" spans="2:8" ht="27.75" customHeight="1" x14ac:dyDescent="0.25">
      <c r="B26" s="348"/>
      <c r="C26" s="350" t="s">
        <v>1662</v>
      </c>
      <c r="D26" s="348"/>
      <c r="E26" s="343">
        <v>4839.1499999999996</v>
      </c>
      <c r="F26" s="348"/>
    </row>
    <row r="27" spans="2:8" x14ac:dyDescent="0.25">
      <c r="B27" s="348"/>
      <c r="C27" s="350"/>
      <c r="D27" s="348"/>
      <c r="E27" s="348"/>
      <c r="F27" s="348"/>
    </row>
    <row r="28" spans="2:8" ht="15.75" customHeight="1" x14ac:dyDescent="0.25">
      <c r="B28" s="348"/>
      <c r="C28" s="350" t="s">
        <v>1663</v>
      </c>
      <c r="D28" s="348"/>
      <c r="E28" s="344">
        <v>2518.5</v>
      </c>
      <c r="F28" s="348"/>
    </row>
    <row r="29" spans="2:8" x14ac:dyDescent="0.25">
      <c r="B29" s="348"/>
      <c r="C29" s="348"/>
      <c r="D29" s="348"/>
      <c r="E29" s="348"/>
      <c r="F29" s="348"/>
    </row>
    <row r="30" spans="2:8" ht="16.5" customHeight="1" x14ac:dyDescent="0.25">
      <c r="B30" s="348"/>
      <c r="C30" s="350" t="s">
        <v>1664</v>
      </c>
      <c r="D30" s="348"/>
      <c r="E30" s="343">
        <v>4129.8500000000004</v>
      </c>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2"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 xml:space="preserve">         JACKSON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542.75</v>
      </c>
      <c r="F10" s="317" t="s">
        <v>1591</v>
      </c>
    </row>
    <row r="11" spans="1:9" ht="15" x14ac:dyDescent="0.2">
      <c r="A11" s="317" t="s">
        <v>1579</v>
      </c>
      <c r="B11" s="320">
        <f>'DOE25'!G140</f>
        <v>142.63</v>
      </c>
      <c r="F11" s="317" t="s">
        <v>1592</v>
      </c>
    </row>
    <row r="12" spans="1:9" ht="15" x14ac:dyDescent="0.2">
      <c r="A12" s="317" t="s">
        <v>1580</v>
      </c>
      <c r="B12" s="320">
        <f>'DOE25'!G170</f>
        <v>16586.14</v>
      </c>
      <c r="F12" s="317" t="s">
        <v>1593</v>
      </c>
    </row>
    <row r="13" spans="1:9" ht="15" x14ac:dyDescent="0.2">
      <c r="A13" s="317" t="s">
        <v>1581</v>
      </c>
      <c r="B13" s="320">
        <f>'DOE25'!G193-'DOE25'!G180</f>
        <v>0</v>
      </c>
      <c r="F13" s="317" t="s">
        <v>1603</v>
      </c>
    </row>
    <row r="14" spans="1:9" ht="18" x14ac:dyDescent="0.25">
      <c r="A14" s="319" t="s">
        <v>732</v>
      </c>
      <c r="B14" s="321">
        <f>SUM(B9:B13)</f>
        <v>17271.52</v>
      </c>
    </row>
    <row r="16" spans="1:9" ht="18" x14ac:dyDescent="0.25">
      <c r="A16" s="319" t="s">
        <v>786</v>
      </c>
      <c r="F16" s="326" t="s">
        <v>1595</v>
      </c>
    </row>
    <row r="17" spans="1:6" ht="15" x14ac:dyDescent="0.2">
      <c r="A17" s="317" t="s">
        <v>1582</v>
      </c>
      <c r="B17" s="320">
        <f>'DOE25'!L363-'DOE25'!L362</f>
        <v>31135.629999999997</v>
      </c>
      <c r="F17" s="317" t="s">
        <v>1596</v>
      </c>
    </row>
    <row r="18" spans="1:6" ht="15" x14ac:dyDescent="0.2">
      <c r="A18" s="317" t="s">
        <v>1583</v>
      </c>
      <c r="B18" s="330"/>
      <c r="F18" s="326" t="s">
        <v>1620</v>
      </c>
    </row>
    <row r="19" spans="1:6" ht="18" x14ac:dyDescent="0.25">
      <c r="A19" s="319" t="s">
        <v>725</v>
      </c>
      <c r="B19" s="321">
        <f>SUM(B17:B18)</f>
        <v>31135.629999999997</v>
      </c>
    </row>
    <row r="21" spans="1:6" ht="18.75" thickBot="1" x14ac:dyDescent="0.3">
      <c r="A21" s="319" t="s">
        <v>1584</v>
      </c>
    </row>
    <row r="22" spans="1:6" ht="18.75" thickTop="1" x14ac:dyDescent="0.25">
      <c r="A22" s="319" t="s">
        <v>1585</v>
      </c>
      <c r="B22" s="325">
        <f>B14-B19</f>
        <v>-13864.109999999997</v>
      </c>
      <c r="F22" s="317" t="s">
        <v>1597</v>
      </c>
    </row>
    <row r="26" spans="1:6" ht="18" x14ac:dyDescent="0.25">
      <c r="A26" s="319" t="s">
        <v>186</v>
      </c>
    </row>
    <row r="27" spans="1:6" ht="15" x14ac:dyDescent="0.2">
      <c r="A27" s="317" t="s">
        <v>1586</v>
      </c>
      <c r="B27" s="320">
        <f>'DOE25'!G180</f>
        <v>13864.11</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0</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         JACKSON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411036.56999999995</v>
      </c>
      <c r="C9" s="229">
        <f>'DOE25'!G198+'DOE25'!G216+'DOE25'!G234+'DOE25'!G277+'DOE25'!G296+'DOE25'!G315</f>
        <v>238137.84000000003</v>
      </c>
    </row>
    <row r="10" spans="1:3" x14ac:dyDescent="0.2">
      <c r="A10" t="s">
        <v>775</v>
      </c>
      <c r="B10" s="240">
        <v>315718.28000000003</v>
      </c>
      <c r="C10" s="240">
        <v>186453.71</v>
      </c>
    </row>
    <row r="11" spans="1:3" x14ac:dyDescent="0.2">
      <c r="A11" t="s">
        <v>776</v>
      </c>
      <c r="B11" s="240">
        <v>42006.239999999998</v>
      </c>
      <c r="C11" s="240">
        <v>47549.45</v>
      </c>
    </row>
    <row r="12" spans="1:3" x14ac:dyDescent="0.2">
      <c r="A12" t="s">
        <v>777</v>
      </c>
      <c r="B12" s="240">
        <v>53312.05</v>
      </c>
      <c r="C12" s="240">
        <v>4134.68</v>
      </c>
    </row>
    <row r="13" spans="1:3" x14ac:dyDescent="0.2">
      <c r="A13" t="str">
        <f>IF(B9=B13,IF(C9=C13,"Check Total OK","Check Total Error"),"Check Total Error")</f>
        <v>Check Total OK</v>
      </c>
      <c r="B13" s="231">
        <f>SUM(B10:B12)</f>
        <v>411036.57</v>
      </c>
      <c r="C13" s="231">
        <f>SUM(C10:C12)</f>
        <v>238137.83999999997</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30090.920000000002</v>
      </c>
      <c r="C18" s="229">
        <f>'DOE25'!G199+'DOE25'!G217+'DOE25'!G235+'DOE25'!G278+'DOE25'!G297+'DOE25'!G316</f>
        <v>2585.17</v>
      </c>
    </row>
    <row r="19" spans="1:3" x14ac:dyDescent="0.2">
      <c r="A19" t="s">
        <v>775</v>
      </c>
      <c r="B19" s="240">
        <v>22862.31</v>
      </c>
      <c r="C19" s="240">
        <v>1827.54</v>
      </c>
    </row>
    <row r="20" spans="1:3" x14ac:dyDescent="0.2">
      <c r="A20" t="s">
        <v>776</v>
      </c>
      <c r="B20" s="240">
        <v>7228.61</v>
      </c>
      <c r="C20" s="240">
        <v>757.63</v>
      </c>
    </row>
    <row r="21" spans="1:3" x14ac:dyDescent="0.2">
      <c r="A21" t="s">
        <v>777</v>
      </c>
      <c r="B21" s="240"/>
      <c r="C21" s="240"/>
    </row>
    <row r="22" spans="1:3" x14ac:dyDescent="0.2">
      <c r="A22" t="str">
        <f>IF(B18=B22,IF(C18=C22,"Check Total OK","Check Total Error"),"Check Total Error")</f>
        <v>Check Total OK</v>
      </c>
      <c r="B22" s="231">
        <f>SUM(B19:B21)</f>
        <v>30090.920000000002</v>
      </c>
      <c r="C22" s="231">
        <f>SUM(C19:C21)</f>
        <v>2585.17</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11457.92</v>
      </c>
      <c r="C36" s="235">
        <f>'DOE25'!G201+'DOE25'!G219+'DOE25'!G237+'DOE25'!G280+'DOE25'!G299+'DOE25'!G318</f>
        <v>879.52</v>
      </c>
    </row>
    <row r="37" spans="1:3" x14ac:dyDescent="0.2">
      <c r="A37" t="s">
        <v>775</v>
      </c>
      <c r="B37" s="240"/>
      <c r="C37" s="240"/>
    </row>
    <row r="38" spans="1:3" x14ac:dyDescent="0.2">
      <c r="A38" t="s">
        <v>776</v>
      </c>
      <c r="B38" s="240"/>
      <c r="C38" s="240"/>
    </row>
    <row r="39" spans="1:3" x14ac:dyDescent="0.2">
      <c r="A39" t="s">
        <v>777</v>
      </c>
      <c r="B39" s="240">
        <v>11457.92</v>
      </c>
      <c r="C39" s="240">
        <v>879.52</v>
      </c>
    </row>
    <row r="40" spans="1:3" x14ac:dyDescent="0.2">
      <c r="A40" t="str">
        <f>IF(B36=B40,IF(C36=C40,"Check Total OK","Check Total Error"),"Check Total Error")</f>
        <v>Check Total OK</v>
      </c>
      <c r="B40" s="231">
        <f>SUM(B37:B39)</f>
        <v>11457.92</v>
      </c>
      <c r="C40" s="231">
        <f>SUM(C37:C39)</f>
        <v>879.52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 xml:space="preserve">         JACKSON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1665087.28</v>
      </c>
      <c r="D5" s="20">
        <f>SUM('DOE25'!L198:L201)+SUM('DOE25'!L216:L219)+SUM('DOE25'!L234:L237)-F5-G5-H5</f>
        <v>1659595.86</v>
      </c>
      <c r="E5" s="243"/>
      <c r="F5" s="244"/>
      <c r="G5" s="53">
        <f>SUM('DOE25'!J198:J201)+SUM('DOE25'!J216:J219)+SUM('DOE25'!J234:J237)</f>
        <v>5491.42</v>
      </c>
      <c r="H5" s="53">
        <f>SUM('DOE25'!K198:K201)+SUM('DOE25'!K216:K219)+SUM('DOE25'!K234:K237)</f>
        <v>0</v>
      </c>
      <c r="I5" s="256"/>
    </row>
    <row r="6" spans="1:9" x14ac:dyDescent="0.2">
      <c r="A6" s="32">
        <v>2100</v>
      </c>
      <c r="B6" t="s">
        <v>796</v>
      </c>
      <c r="C6" s="275">
        <f t="shared" si="0"/>
        <v>111696.01000000001</v>
      </c>
      <c r="D6" s="20">
        <f>'DOE25'!L203+'DOE25'!L221+'DOE25'!L239-F6-G6-H6</f>
        <v>111696.01000000001</v>
      </c>
      <c r="E6" s="243"/>
      <c r="F6" s="244"/>
      <c r="G6" s="53">
        <f>'DOE25'!J203+'DOE25'!J221+'DOE25'!J239</f>
        <v>0</v>
      </c>
      <c r="H6" s="53">
        <f>'DOE25'!K203+'DOE25'!K221+'DOE25'!K239</f>
        <v>0</v>
      </c>
      <c r="I6" s="256"/>
    </row>
    <row r="7" spans="1:9" x14ac:dyDescent="0.2">
      <c r="A7" s="32">
        <v>2200</v>
      </c>
      <c r="B7" t="s">
        <v>821</v>
      </c>
      <c r="C7" s="275">
        <f t="shared" si="0"/>
        <v>39919.57</v>
      </c>
      <c r="D7" s="20">
        <f>'DOE25'!L204+'DOE25'!L222+'DOE25'!L240-F7-G7-H7</f>
        <v>39919.57</v>
      </c>
      <c r="E7" s="243"/>
      <c r="F7" s="244"/>
      <c r="G7" s="53">
        <f>'DOE25'!J204+'DOE25'!J222+'DOE25'!J240</f>
        <v>0</v>
      </c>
      <c r="H7" s="53">
        <f>'DOE25'!K204+'DOE25'!K222+'DOE25'!K240</f>
        <v>0</v>
      </c>
      <c r="I7" s="256"/>
    </row>
    <row r="8" spans="1:9" x14ac:dyDescent="0.2">
      <c r="A8" s="32">
        <v>2300</v>
      </c>
      <c r="B8" t="s">
        <v>797</v>
      </c>
      <c r="C8" s="275">
        <f t="shared" si="0"/>
        <v>105511.65999999997</v>
      </c>
      <c r="D8" s="243"/>
      <c r="E8" s="20">
        <f>'DOE25'!L205+'DOE25'!L223+'DOE25'!L241-F8-G8-H8-D9-D11</f>
        <v>103460.56999999998</v>
      </c>
      <c r="F8" s="244"/>
      <c r="G8" s="53">
        <f>'DOE25'!J205+'DOE25'!J223+'DOE25'!J241</f>
        <v>0</v>
      </c>
      <c r="H8" s="53">
        <f>'DOE25'!K205+'DOE25'!K223+'DOE25'!K241</f>
        <v>2051.09</v>
      </c>
      <c r="I8" s="256"/>
    </row>
    <row r="9" spans="1:9" ht="14.25" x14ac:dyDescent="0.2">
      <c r="A9" s="32">
        <v>2310</v>
      </c>
      <c r="B9" s="185" t="s">
        <v>888</v>
      </c>
      <c r="C9" s="275">
        <f t="shared" si="0"/>
        <v>13118</v>
      </c>
      <c r="D9" s="244">
        <v>13118</v>
      </c>
      <c r="E9" s="243"/>
      <c r="F9" s="253"/>
      <c r="G9" s="253"/>
      <c r="H9" s="253"/>
      <c r="I9" s="256"/>
    </row>
    <row r="10" spans="1:9" ht="14.25" x14ac:dyDescent="0.2">
      <c r="A10" s="32">
        <v>2317</v>
      </c>
      <c r="B10" s="185" t="s">
        <v>889</v>
      </c>
      <c r="C10" s="275">
        <f t="shared" si="0"/>
        <v>7150</v>
      </c>
      <c r="D10" s="243"/>
      <c r="E10" s="244">
        <v>7150</v>
      </c>
      <c r="F10" s="253"/>
      <c r="G10" s="253"/>
      <c r="H10" s="253"/>
      <c r="I10" s="256"/>
    </row>
    <row r="11" spans="1:9" ht="14.25" x14ac:dyDescent="0.2">
      <c r="A11" s="32">
        <v>2321</v>
      </c>
      <c r="B11" s="185" t="s">
        <v>890</v>
      </c>
      <c r="C11" s="275">
        <f t="shared" si="0"/>
        <v>31395.81</v>
      </c>
      <c r="D11" s="244">
        <v>31395.81</v>
      </c>
      <c r="E11" s="243"/>
      <c r="F11" s="253"/>
      <c r="G11" s="253"/>
      <c r="H11" s="253"/>
      <c r="I11" s="256"/>
    </row>
    <row r="12" spans="1:9" x14ac:dyDescent="0.2">
      <c r="A12" s="32">
        <v>2400</v>
      </c>
      <c r="B12" t="s">
        <v>711</v>
      </c>
      <c r="C12" s="275">
        <f t="shared" si="0"/>
        <v>224145.7</v>
      </c>
      <c r="D12" s="20">
        <f>'DOE25'!L206+'DOE25'!L224+'DOE25'!L242-F12-G12-H12</f>
        <v>223181.75</v>
      </c>
      <c r="E12" s="243"/>
      <c r="F12" s="244"/>
      <c r="G12" s="53">
        <f>'DOE25'!J206+'DOE25'!J224+'DOE25'!J242</f>
        <v>299.95</v>
      </c>
      <c r="H12" s="53">
        <f>'DOE25'!K206+'DOE25'!K224+'DOE25'!K242</f>
        <v>664</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197898.37</v>
      </c>
      <c r="D14" s="20">
        <f>'DOE25'!L208+'DOE25'!L226+'DOE25'!L244-F14-G14-H14</f>
        <v>193456.51</v>
      </c>
      <c r="E14" s="243"/>
      <c r="F14" s="244">
        <v>3473</v>
      </c>
      <c r="G14" s="53">
        <f>'DOE25'!J208+'DOE25'!J226+'DOE25'!J244</f>
        <v>968.86</v>
      </c>
      <c r="H14" s="53">
        <f>'DOE25'!K208+'DOE25'!K226+'DOE25'!K244</f>
        <v>0</v>
      </c>
      <c r="I14" s="256"/>
    </row>
    <row r="15" spans="1:9" x14ac:dyDescent="0.2">
      <c r="A15" s="32">
        <v>2700</v>
      </c>
      <c r="B15" t="s">
        <v>799</v>
      </c>
      <c r="C15" s="275">
        <f t="shared" si="0"/>
        <v>139792</v>
      </c>
      <c r="D15" s="20">
        <f>'DOE25'!L209+'DOE25'!L227+'DOE25'!L245-F15-G15-H15</f>
        <v>139792</v>
      </c>
      <c r="E15" s="243"/>
      <c r="F15" s="244"/>
      <c r="G15" s="53">
        <f>'DOE25'!J209+'DOE25'!J227+'DOE25'!J245</f>
        <v>0</v>
      </c>
      <c r="H15" s="53">
        <f>'DOE25'!K209+'DOE25'!K227+'DOE25'!K245</f>
        <v>0</v>
      </c>
      <c r="I15" s="256"/>
    </row>
    <row r="16" spans="1:9" x14ac:dyDescent="0.2">
      <c r="A16" s="32">
        <v>2800</v>
      </c>
      <c r="B16" t="s">
        <v>800</v>
      </c>
      <c r="C16" s="275">
        <f t="shared" si="0"/>
        <v>219.99</v>
      </c>
      <c r="D16" s="243"/>
      <c r="E16" s="20">
        <f>'DOE25'!L210+'DOE25'!L228+'DOE25'!L246-F16-G16-H16</f>
        <v>219.99</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6009</v>
      </c>
      <c r="D22" s="243"/>
      <c r="E22" s="243"/>
      <c r="F22" s="243"/>
      <c r="G22" s="53">
        <f>'DOE25'!L256+'DOE25'!L337</f>
        <v>6009</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15396.279999999997</v>
      </c>
      <c r="D29" s="283">
        <f>'DOE25'!L359+'DOE25'!L360+'DOE25'!L361-'DOE25'!I368-F29-G29-H29</f>
        <v>15396.279999999997</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63278.62</v>
      </c>
      <c r="D31" s="20">
        <f>'DOE25'!L291+'DOE25'!L310+'DOE25'!L329+'DOE25'!L334+'DOE25'!L335+'DOE25'!L336-F31-G31-H31</f>
        <v>52166.590000000004</v>
      </c>
      <c r="E31" s="243"/>
      <c r="F31" s="244"/>
      <c r="G31" s="53">
        <f>'DOE25'!J291+'DOE25'!J310+'DOE25'!J329+'DOE25'!J334+'DOE25'!J335+'DOE25'!J336</f>
        <v>11112.03</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2479718.38</v>
      </c>
      <c r="E33" s="245">
        <f t="shared" si="1"/>
        <v>110830.55999999998</v>
      </c>
      <c r="F33" s="245">
        <f t="shared" si="1"/>
        <v>3473</v>
      </c>
      <c r="G33" s="245">
        <f t="shared" si="1"/>
        <v>23881.260000000002</v>
      </c>
      <c r="H33" s="245">
        <f t="shared" si="1"/>
        <v>2715.09</v>
      </c>
      <c r="I33" s="245">
        <f t="shared" si="1"/>
        <v>0</v>
      </c>
    </row>
    <row r="35" spans="1:9" ht="12" thickBot="1" x14ac:dyDescent="0.25">
      <c r="B35" s="251" t="s">
        <v>831</v>
      </c>
      <c r="D35" s="252">
        <f>E33</f>
        <v>110830.55999999998</v>
      </c>
      <c r="E35" s="248"/>
      <c r="F35" s="335" t="s">
        <v>1632</v>
      </c>
      <c r="G35" s="336"/>
      <c r="H35" s="336"/>
      <c r="I35" s="336"/>
    </row>
    <row r="36" spans="1:9" ht="12" thickTop="1" x14ac:dyDescent="0.2">
      <c r="B36" t="s">
        <v>810</v>
      </c>
      <c r="D36" s="20">
        <f>D33</f>
        <v>2479718.38</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 xml:space="preserve">         JACKSON SCHOOL DISTRICT</v>
      </c>
      <c r="B2" s="126">
        <f>'DOE25'!B2</f>
        <v>271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1499900.07</v>
      </c>
      <c r="G4" s="302">
        <f>'DOE25'!L212+'DOE25'!L291</f>
        <v>1499900.0699999998</v>
      </c>
      <c r="H4" s="355">
        <f>F4-G4</f>
        <v>0</v>
      </c>
      <c r="I4" s="372" t="str">
        <f>IF(H4=0,"","ISSUES!! Please review page 7 and 11 totals in comparison with total on this page")</f>
        <v/>
      </c>
      <c r="N4"/>
    </row>
    <row r="5" spans="1:18" x14ac:dyDescent="0.2">
      <c r="A5" s="21" t="s">
        <v>1144</v>
      </c>
      <c r="B5" s="303">
        <f>IFERROR(VLOOKUP(A5,'School Tables'!$C$3:$D$365,2,FALSE),"")</f>
        <v>20355</v>
      </c>
      <c r="C5" s="296" t="str">
        <f>IFERROR(INDEX('School Tables'!$B$3:$B$365,MATCH('School Level Expenditures'!B5,'School Tables'!$D$3:$D$365,0)),"")</f>
        <v>Jackson</v>
      </c>
      <c r="D5" s="293">
        <v>1436621.45</v>
      </c>
      <c r="E5" s="293">
        <v>63278.62</v>
      </c>
      <c r="F5" s="306">
        <f>D5+E5</f>
        <v>1499900.07</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1436621.45</v>
      </c>
      <c r="E21" s="353">
        <f>SUM(E5:E20)</f>
        <v>63278.62</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360591.65</v>
      </c>
      <c r="G24" s="302">
        <f>'DOE25'!L230+'DOE25'!L310</f>
        <v>360591.65</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360591.65</v>
      </c>
      <c r="E25" s="293">
        <v>0</v>
      </c>
      <c r="F25" s="306">
        <f>D25+E25</f>
        <v>360591.65</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360591.65</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731571.29</v>
      </c>
      <c r="G36" s="302">
        <f>'DOE25'!L248+'DOE25'!L329</f>
        <v>731571.29</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731571.29</v>
      </c>
      <c r="E37" s="293">
        <v>0</v>
      </c>
      <c r="F37" s="306">
        <f t="shared" ref="F37:F42" si="2">D37+E37</f>
        <v>731571.29</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731571.29</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         JACKSON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224812.32</v>
      </c>
      <c r="D8" s="95">
        <f>'DOE25'!G9</f>
        <v>0</v>
      </c>
      <c r="E8" s="95">
        <f>'DOE25'!H9</f>
        <v>0</v>
      </c>
      <c r="F8" s="95">
        <f>'DOE25'!I9</f>
        <v>0</v>
      </c>
      <c r="G8" s="95">
        <f>'DOE25'!J9</f>
        <v>457937.76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7271.01</v>
      </c>
      <c r="D11" s="95">
        <f>'DOE25'!G12</f>
        <v>2262.65</v>
      </c>
      <c r="E11" s="95">
        <f>'DOE25'!H12</f>
        <v>0</v>
      </c>
      <c r="F11" s="95">
        <f>'DOE25'!I12</f>
        <v>0</v>
      </c>
      <c r="G11" s="95">
        <f>'DOE25'!J12</f>
        <v>0</v>
      </c>
      <c r="H11" s="124"/>
      <c r="I11" s="124"/>
    </row>
    <row r="12" spans="1:9" x14ac:dyDescent="0.2">
      <c r="A12" s="1" t="s">
        <v>143</v>
      </c>
      <c r="B12" s="6">
        <v>140</v>
      </c>
      <c r="C12" s="95">
        <f>'DOE25'!F13</f>
        <v>18859.13</v>
      </c>
      <c r="D12" s="95">
        <f>'DOE25'!G13</f>
        <v>7161.74</v>
      </c>
      <c r="E12" s="95">
        <f>'DOE25'!H13</f>
        <v>13964.64</v>
      </c>
      <c r="F12" s="95">
        <f>'DOE25'!I13</f>
        <v>0</v>
      </c>
      <c r="G12" s="95">
        <f>'DOE25'!J13</f>
        <v>0</v>
      </c>
      <c r="H12" s="124"/>
      <c r="I12" s="124"/>
    </row>
    <row r="13" spans="1:9" x14ac:dyDescent="0.2">
      <c r="A13" s="1" t="s">
        <v>144</v>
      </c>
      <c r="B13" s="6">
        <v>150</v>
      </c>
      <c r="C13" s="95">
        <f>'DOE25'!F14</f>
        <v>62.6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251005.06000000003</v>
      </c>
      <c r="D18" s="41">
        <f>SUM(D8:D17)</f>
        <v>9424.39</v>
      </c>
      <c r="E18" s="41">
        <f>SUM(E8:E17)</f>
        <v>13964.64</v>
      </c>
      <c r="F18" s="41">
        <f>SUM(F8:F17)</f>
        <v>0</v>
      </c>
      <c r="G18" s="41">
        <f>SUM(G8:G17)</f>
        <v>457937.76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2262.65</v>
      </c>
      <c r="D21" s="95">
        <f>'DOE25'!G22</f>
        <v>0</v>
      </c>
      <c r="E21" s="95">
        <f>'DOE25'!H22</f>
        <v>7271.01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6768.1</v>
      </c>
      <c r="D23" s="95">
        <f>'DOE25'!G24</f>
        <v>9424.39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3715.71</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13753.45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26499.91</v>
      </c>
      <c r="D31" s="41">
        <f>SUM(D21:D30)</f>
        <v>9424.39</v>
      </c>
      <c r="E31" s="41">
        <f>SUM(E21:E30)</f>
        <v>7271.01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6693.63</v>
      </c>
      <c r="F47" s="95">
        <f>'DOE25'!I48</f>
        <v>0</v>
      </c>
      <c r="G47" s="95">
        <f>'DOE25'!J48</f>
        <v>457937.76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174505.15</v>
      </c>
      <c r="D49" s="24" t="s">
        <v>288</v>
      </c>
      <c r="E49" s="24" t="s">
        <v>288</v>
      </c>
      <c r="F49" s="24" t="s">
        <v>288</v>
      </c>
      <c r="G49" s="24" t="s">
        <v>288</v>
      </c>
      <c r="H49" s="124"/>
      <c r="I49" s="124"/>
    </row>
    <row r="50" spans="1:9" ht="12.75" thickTop="1" thickBot="1" x14ac:dyDescent="0.25">
      <c r="A50" s="38" t="s">
        <v>884</v>
      </c>
      <c r="B50" s="48"/>
      <c r="C50" s="41">
        <f>SUM(C34:C49)</f>
        <v>224505.15</v>
      </c>
      <c r="D50" s="41">
        <f>SUM(D34:D49)</f>
        <v>0</v>
      </c>
      <c r="E50" s="41">
        <f>SUM(E34:E49)</f>
        <v>6693.63</v>
      </c>
      <c r="F50" s="41">
        <f>SUM(F34:F49)</f>
        <v>0</v>
      </c>
      <c r="G50" s="41">
        <f>SUM(G34:G49)</f>
        <v>457937.76</v>
      </c>
      <c r="H50" s="124"/>
      <c r="I50" s="124"/>
    </row>
    <row r="51" spans="1:9" ht="12" thickTop="1" x14ac:dyDescent="0.2">
      <c r="A51" s="38" t="s">
        <v>885</v>
      </c>
      <c r="B51" s="2"/>
      <c r="C51" s="41">
        <f>C50+C31</f>
        <v>251005.06</v>
      </c>
      <c r="D51" s="41">
        <f>D50+D31</f>
        <v>9424.39</v>
      </c>
      <c r="E51" s="41">
        <f>E50+E31</f>
        <v>13964.64</v>
      </c>
      <c r="F51" s="41">
        <f>F50+F31</f>
        <v>0</v>
      </c>
      <c r="G51" s="41">
        <f>G50+G31</f>
        <v>457937.76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1692969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542.75</v>
      </c>
      <c r="E59" s="95">
        <f>'DOE25'!H96</f>
        <v>0</v>
      </c>
      <c r="F59" s="95">
        <f>'DOE25'!I96</f>
        <v>0</v>
      </c>
      <c r="G59" s="95">
        <f>'DOE25'!J96</f>
        <v>4114.1000000000004</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36277.199999999997</v>
      </c>
      <c r="D61" s="95">
        <f>SUM('DOE25'!G98:G110)</f>
        <v>0</v>
      </c>
      <c r="E61" s="95">
        <f>SUM('DOE25'!H98:H110)</f>
        <v>4060.07</v>
      </c>
      <c r="F61" s="95">
        <f>SUM('DOE25'!I98:I110)</f>
        <v>0</v>
      </c>
      <c r="G61" s="95">
        <f>SUM('DOE25'!J98:J110)</f>
        <v>0</v>
      </c>
      <c r="H61"/>
      <c r="I61"/>
    </row>
    <row r="62" spans="1:9" ht="12.75" thickTop="1" thickBot="1" x14ac:dyDescent="0.25">
      <c r="A62" s="29" t="s">
        <v>174</v>
      </c>
      <c r="B62" s="6"/>
      <c r="C62" s="130">
        <f>SUM(C57:C61)</f>
        <v>36277.199999999997</v>
      </c>
      <c r="D62" s="130">
        <f>SUM(D57:D61)</f>
        <v>542.75</v>
      </c>
      <c r="E62" s="130">
        <f>SUM(E57:E61)</f>
        <v>4060.07</v>
      </c>
      <c r="F62" s="130">
        <f>SUM(F57:F61)</f>
        <v>0</v>
      </c>
      <c r="G62" s="130">
        <f>SUM(G57:G61)</f>
        <v>4114.1000000000004</v>
      </c>
      <c r="H62"/>
      <c r="I62"/>
    </row>
    <row r="63" spans="1:9" ht="12" thickTop="1" x14ac:dyDescent="0.2">
      <c r="A63" s="29" t="s">
        <v>175</v>
      </c>
      <c r="B63" s="6"/>
      <c r="C63" s="22">
        <f>C56+C62</f>
        <v>1729246.2</v>
      </c>
      <c r="D63" s="22">
        <f>D56+D62</f>
        <v>542.75</v>
      </c>
      <c r="E63" s="22">
        <f>E56+E62</f>
        <v>4060.07</v>
      </c>
      <c r="F63" s="22">
        <f>F56+F62</f>
        <v>0</v>
      </c>
      <c r="G63" s="22">
        <f>G56+G62</f>
        <v>4114.1000000000004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788199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788199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142.63</v>
      </c>
      <c r="E77" s="95">
        <f>SUM('DOE25'!H131:H135)</f>
        <v>0</v>
      </c>
      <c r="F77" s="95">
        <f>SUM('DOE25'!I131:I135)</f>
        <v>0</v>
      </c>
      <c r="G77" s="95">
        <f>SUM('DOE25'!J131:J135)</f>
        <v>0</v>
      </c>
      <c r="H77"/>
      <c r="I77"/>
    </row>
    <row r="78" spans="1:9" ht="12.75" thickTop="1" thickBot="1" x14ac:dyDescent="0.25">
      <c r="A78" s="29" t="s">
        <v>259</v>
      </c>
      <c r="B78" s="6"/>
      <c r="C78" s="130">
        <f>SUM(C72:C77)</f>
        <v>0</v>
      </c>
      <c r="D78" s="130">
        <f>SUM(D72:D77)</f>
        <v>142.63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788199</v>
      </c>
      <c r="D81" s="130">
        <f>SUM(D79:D80)+D78+D70</f>
        <v>142.63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3323.32</v>
      </c>
      <c r="F87" s="95">
        <f>SUM('DOE25'!I149:I152)</f>
        <v>0</v>
      </c>
      <c r="G87" s="24" t="s">
        <v>288</v>
      </c>
    </row>
    <row r="88" spans="1:9" x14ac:dyDescent="0.2">
      <c r="A88" s="290" t="s">
        <v>747</v>
      </c>
      <c r="B88" s="332" t="s">
        <v>184</v>
      </c>
      <c r="C88" s="333">
        <f>SUM('DOE25'!F153:F162)</f>
        <v>1.74</v>
      </c>
      <c r="D88" s="333">
        <f>SUM('DOE25'!G153:G162)</f>
        <v>16586.14</v>
      </c>
      <c r="E88" s="333">
        <f>SUM('DOE25'!H153:H162)</f>
        <v>59955.299999999996</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15311.53</v>
      </c>
      <c r="D90" s="24" t="s">
        <v>288</v>
      </c>
      <c r="E90" s="24" t="s">
        <v>288</v>
      </c>
      <c r="F90" s="24" t="s">
        <v>288</v>
      </c>
      <c r="G90" s="24" t="s">
        <v>288</v>
      </c>
    </row>
    <row r="91" spans="1:9" ht="12.75" thickTop="1" thickBot="1" x14ac:dyDescent="0.25">
      <c r="A91" s="33" t="s">
        <v>750</v>
      </c>
      <c r="C91" s="131">
        <f>SUM(C85:C90)</f>
        <v>15313.27</v>
      </c>
      <c r="D91" s="131">
        <f>SUM(D85:D90)</f>
        <v>16586.14</v>
      </c>
      <c r="E91" s="131">
        <f>SUM(E85:E90)</f>
        <v>63278.619999999995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13864.11</v>
      </c>
      <c r="E96" s="95">
        <f>'DOE25'!H180</f>
        <v>0</v>
      </c>
      <c r="F96" s="95">
        <f>'DOE25'!I180</f>
        <v>0</v>
      </c>
      <c r="G96" s="95">
        <f>'DOE25'!J180</f>
        <v>43000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9000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9000</v>
      </c>
      <c r="D103" s="86">
        <f>SUM(D93:D102)</f>
        <v>13864.11</v>
      </c>
      <c r="E103" s="86">
        <f>SUM(E93:E102)</f>
        <v>0</v>
      </c>
      <c r="F103" s="86">
        <f>SUM(F93:F102)</f>
        <v>0</v>
      </c>
      <c r="G103" s="86">
        <f>SUM(G93:G102)</f>
        <v>43000</v>
      </c>
    </row>
    <row r="104" spans="1:7" ht="12.75" thickTop="1" thickBot="1" x14ac:dyDescent="0.25">
      <c r="A104" s="33" t="s">
        <v>761</v>
      </c>
      <c r="C104" s="86">
        <f>C63+C81+C91+C103</f>
        <v>2541758.4700000002</v>
      </c>
      <c r="D104" s="86">
        <f>D63+D81+D91+D103</f>
        <v>31135.63</v>
      </c>
      <c r="E104" s="86">
        <f>E63+E81+E91+E103</f>
        <v>67338.69</v>
      </c>
      <c r="F104" s="86">
        <f>F63+F81+F91+F103</f>
        <v>0</v>
      </c>
      <c r="G104" s="86">
        <f>G63+G81+G103</f>
        <v>47114.1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1614882.69</v>
      </c>
      <c r="D109" s="24" t="s">
        <v>288</v>
      </c>
      <c r="E109" s="95">
        <f>('DOE25'!L277)+('DOE25'!L296)+('DOE25'!L315)</f>
        <v>33370.19</v>
      </c>
      <c r="F109" s="24" t="s">
        <v>288</v>
      </c>
      <c r="G109" s="24" t="s">
        <v>288</v>
      </c>
    </row>
    <row r="110" spans="1:7" x14ac:dyDescent="0.2">
      <c r="A110" t="s">
        <v>198</v>
      </c>
      <c r="B110" s="32" t="s">
        <v>199</v>
      </c>
      <c r="C110" s="95">
        <f>('DOE25'!L199)+('DOE25'!L217)+('DOE25'!L235)</f>
        <v>28587.11</v>
      </c>
      <c r="D110" s="24" t="s">
        <v>288</v>
      </c>
      <c r="E110" s="95">
        <f>('DOE25'!L278)+('DOE25'!L297)+('DOE25'!L316)</f>
        <v>9611.68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21617.48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1665087.28</v>
      </c>
      <c r="D115" s="86">
        <f>SUM(D109:D114)</f>
        <v>0</v>
      </c>
      <c r="E115" s="86">
        <f>SUM(E109:E114)</f>
        <v>42981.87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111696.01000000001</v>
      </c>
      <c r="D118" s="24" t="s">
        <v>288</v>
      </c>
      <c r="E118" s="95">
        <f>+('DOE25'!L282)+('DOE25'!L301)+('DOE25'!L320)</f>
        <v>2254.3200000000002</v>
      </c>
      <c r="F118" s="24" t="s">
        <v>288</v>
      </c>
      <c r="G118" s="24" t="s">
        <v>288</v>
      </c>
    </row>
    <row r="119" spans="1:7" x14ac:dyDescent="0.2">
      <c r="A119" t="s">
        <v>208</v>
      </c>
      <c r="B119" s="32" t="s">
        <v>209</v>
      </c>
      <c r="C119" s="95">
        <f>('DOE25'!L204)+('DOE25'!L222)+('DOE25'!L240)</f>
        <v>39919.57</v>
      </c>
      <c r="D119" s="24" t="s">
        <v>288</v>
      </c>
      <c r="E119" s="95">
        <f>+('DOE25'!L283)+('DOE25'!L302)+('DOE25'!L321)</f>
        <v>13686.28</v>
      </c>
      <c r="F119" s="24" t="s">
        <v>288</v>
      </c>
      <c r="G119" s="24" t="s">
        <v>288</v>
      </c>
    </row>
    <row r="120" spans="1:7" x14ac:dyDescent="0.2">
      <c r="A120" t="s">
        <v>210</v>
      </c>
      <c r="B120" s="32" t="s">
        <v>211</v>
      </c>
      <c r="C120" s="95">
        <f>('DOE25'!L205)+('DOE25'!L223)+('DOE25'!L241)</f>
        <v>150025.46999999997</v>
      </c>
      <c r="D120" s="24" t="s">
        <v>288</v>
      </c>
      <c r="E120" s="95">
        <f>+('DOE25'!L284)+('DOE25'!L303)+('DOE25'!L322)</f>
        <v>0</v>
      </c>
      <c r="F120" s="24" t="s">
        <v>288</v>
      </c>
      <c r="G120" s="24" t="s">
        <v>288</v>
      </c>
    </row>
    <row r="121" spans="1:7" x14ac:dyDescent="0.2">
      <c r="A121" t="s">
        <v>212</v>
      </c>
      <c r="B121" s="32" t="s">
        <v>213</v>
      </c>
      <c r="C121" s="95">
        <f>('DOE25'!L206)+('DOE25'!L224)+('DOE25'!L242)</f>
        <v>224145.7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197898.37</v>
      </c>
      <c r="D123" s="24" t="s">
        <v>288</v>
      </c>
      <c r="E123" s="95">
        <f>+('DOE25'!L287)+('DOE25'!L306)+('DOE25'!L325)</f>
        <v>0</v>
      </c>
      <c r="F123" s="24" t="s">
        <v>288</v>
      </c>
      <c r="G123" s="24" t="s">
        <v>288</v>
      </c>
    </row>
    <row r="124" spans="1:7" x14ac:dyDescent="0.2">
      <c r="A124" t="s">
        <v>218</v>
      </c>
      <c r="B124" s="32" t="s">
        <v>219</v>
      </c>
      <c r="C124" s="95">
        <f>('DOE25'!L209)+('DOE25'!L227)+('DOE25'!L245+'DOE25'!L255)</f>
        <v>139792</v>
      </c>
      <c r="D124" s="24" t="s">
        <v>288</v>
      </c>
      <c r="E124" s="95">
        <f>+('DOE25'!L288)+('DOE25'!L307)+('DOE25'!L326)</f>
        <v>4356.1499999999996</v>
      </c>
      <c r="F124" s="24" t="s">
        <v>288</v>
      </c>
      <c r="G124" s="24" t="s">
        <v>288</v>
      </c>
    </row>
    <row r="125" spans="1:7" x14ac:dyDescent="0.2">
      <c r="A125" t="s">
        <v>220</v>
      </c>
      <c r="B125" s="32" t="s">
        <v>221</v>
      </c>
      <c r="C125" s="95">
        <f>('DOE25'!L210)+('DOE25'!L228)+('DOE25'!L246)</f>
        <v>219.99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31135.629999999997</v>
      </c>
      <c r="E127" s="24" t="s">
        <v>288</v>
      </c>
      <c r="F127" s="24" t="s">
        <v>288</v>
      </c>
      <c r="G127" s="24" t="s">
        <v>288</v>
      </c>
    </row>
    <row r="128" spans="1:7" ht="12.75" thickTop="1" thickBot="1" x14ac:dyDescent="0.25">
      <c r="A128" s="33" t="s">
        <v>226</v>
      </c>
      <c r="C128" s="86">
        <f>SUM(C118:C127)</f>
        <v>863697.11</v>
      </c>
      <c r="D128" s="86">
        <f>SUM(D118:D127)</f>
        <v>31135.629999999997</v>
      </c>
      <c r="E128" s="86">
        <f>SUM(E118:E127)</f>
        <v>20296.75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6009</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9000</v>
      </c>
    </row>
    <row r="135" spans="1:7" x14ac:dyDescent="0.2">
      <c r="A135" t="s">
        <v>233</v>
      </c>
      <c r="B135" s="32" t="s">
        <v>234</v>
      </c>
      <c r="C135" s="95">
        <f>'DOE25'!L264</f>
        <v>13864.11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15702.66</v>
      </c>
      <c r="D138" s="24" t="s">
        <v>288</v>
      </c>
      <c r="E138" s="24" t="s">
        <v>288</v>
      </c>
      <c r="F138" s="24" t="s">
        <v>288</v>
      </c>
      <c r="G138" s="24" t="s">
        <v>288</v>
      </c>
    </row>
    <row r="139" spans="1:7" x14ac:dyDescent="0.2">
      <c r="A139" t="s">
        <v>239</v>
      </c>
      <c r="B139" s="32">
        <v>5252</v>
      </c>
      <c r="C139" s="95">
        <f>'DOE25'!L402</f>
        <v>31411.440000000002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-4114.1000000000058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62873.11</v>
      </c>
      <c r="D144" s="141">
        <f>SUM(D130:D143)</f>
        <v>0</v>
      </c>
      <c r="E144" s="141">
        <f>SUM(E130:E143)</f>
        <v>0</v>
      </c>
      <c r="F144" s="141">
        <f>SUM(F130:F143)</f>
        <v>0</v>
      </c>
      <c r="G144" s="141">
        <f>SUM(G130:G143)</f>
        <v>9000</v>
      </c>
    </row>
    <row r="145" spans="1:9" ht="12.75" thickTop="1" thickBot="1" x14ac:dyDescent="0.25">
      <c r="A145" s="33" t="s">
        <v>244</v>
      </c>
      <c r="C145" s="86">
        <f>(C115+C128+C144)</f>
        <v>2591657.5</v>
      </c>
      <c r="D145" s="86">
        <f>(D115+D128+D144)</f>
        <v>31135.629999999997</v>
      </c>
      <c r="E145" s="86">
        <f>(E115+E128+E144)</f>
        <v>63278.62</v>
      </c>
      <c r="F145" s="86">
        <f>(F115+F128+F144)</f>
        <v>0</v>
      </c>
      <c r="G145" s="86">
        <f>(G115+G128+G144)</f>
        <v>9000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 xml:space="preserve">         JACKSON SCHOOL DISTRICT</v>
      </c>
    </row>
    <row r="3" spans="1:4" x14ac:dyDescent="0.2">
      <c r="B3" s="188" t="s">
        <v>1666</v>
      </c>
    </row>
    <row r="4" spans="1:4" x14ac:dyDescent="0.2">
      <c r="B4" t="s">
        <v>61</v>
      </c>
      <c r="C4" s="179">
        <f>IF('DOE25'!F666+'DOE25'!F671=0,0,ROUND('DOE25'!F673,0))</f>
        <v>28524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28524</v>
      </c>
    </row>
    <row r="9" spans="1:4" x14ac:dyDescent="0.2">
      <c r="A9" s="187" t="s">
        <v>94</v>
      </c>
      <c r="B9" s="188" t="s">
        <v>1671</v>
      </c>
      <c r="C9" s="181" t="s">
        <v>720</v>
      </c>
      <c r="D9" s="181" t="s">
        <v>721</v>
      </c>
    </row>
    <row r="10" spans="1:4" x14ac:dyDescent="0.2">
      <c r="A10">
        <v>1100</v>
      </c>
      <c r="B10" t="s">
        <v>702</v>
      </c>
      <c r="C10" s="179">
        <f>ROUND('DOE25'!L198+'DOE25'!L216+'DOE25'!L234+'DOE25'!L277+'DOE25'!L296+'DOE25'!L315,0)</f>
        <v>1648253</v>
      </c>
      <c r="D10" s="182">
        <f>ROUND((C10/$C$28)*100,1)</f>
        <v>62.8</v>
      </c>
    </row>
    <row r="11" spans="1:4" x14ac:dyDescent="0.2">
      <c r="A11">
        <v>1200</v>
      </c>
      <c r="B11" t="s">
        <v>703</v>
      </c>
      <c r="C11" s="179">
        <f>ROUND('DOE25'!L199+'DOE25'!L217+'DOE25'!L235+'DOE25'!L278+'DOE25'!L297+'DOE25'!L316,0)</f>
        <v>38199</v>
      </c>
      <c r="D11" s="182">
        <f>ROUND((C11/$C$28)*100,1)</f>
        <v>1.5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21617</v>
      </c>
      <c r="D13" s="182">
        <f>ROUND((C13/$C$28)*100,1)</f>
        <v>0.8</v>
      </c>
    </row>
    <row r="14" spans="1:4" x14ac:dyDescent="0.2">
      <c r="D14" s="182"/>
    </row>
    <row r="15" spans="1:4" x14ac:dyDescent="0.2">
      <c r="A15">
        <v>2100</v>
      </c>
      <c r="B15" t="s">
        <v>706</v>
      </c>
      <c r="C15" s="179">
        <f>ROUND('DOE25'!L203+'DOE25'!L221+'DOE25'!L239+'DOE25'!L282+'DOE25'!L301+'DOE25'!L320,0)</f>
        <v>113950</v>
      </c>
      <c r="D15" s="182">
        <f t="shared" ref="D15:D27" si="0">ROUND((C15/$C$28)*100,1)</f>
        <v>4.3</v>
      </c>
    </row>
    <row r="16" spans="1:4" x14ac:dyDescent="0.2">
      <c r="A16">
        <v>2200</v>
      </c>
      <c r="B16" t="s">
        <v>707</v>
      </c>
      <c r="C16" s="179">
        <f>ROUND('DOE25'!L204+'DOE25'!L222+'DOE25'!L240+'DOE25'!L283+'DOE25'!L302+'DOE25'!L321,0)</f>
        <v>53606</v>
      </c>
      <c r="D16" s="182">
        <f t="shared" si="0"/>
        <v>2</v>
      </c>
    </row>
    <row r="17" spans="1:4" x14ac:dyDescent="0.2">
      <c r="A17" s="183" t="s">
        <v>723</v>
      </c>
      <c r="B17" t="s">
        <v>738</v>
      </c>
      <c r="C17" s="179">
        <f>ROUND('DOE25'!L205+'DOE25'!L210+'DOE25'!L223+'DOE25'!L228+'DOE25'!L241+'DOE25'!L246+'DOE25'!L284+'DOE25'!L289+'DOE25'!L303+'DOE25'!L308+'DOE25'!L322+'DOE25'!L327,0)</f>
        <v>150245</v>
      </c>
      <c r="D17" s="182">
        <f t="shared" si="0"/>
        <v>5.7</v>
      </c>
    </row>
    <row r="18" spans="1:4" x14ac:dyDescent="0.2">
      <c r="A18">
        <v>2400</v>
      </c>
      <c r="B18" t="s">
        <v>711</v>
      </c>
      <c r="C18" s="179">
        <f>ROUND('DOE25'!L206+'DOE25'!L224+'DOE25'!L242+'DOE25'!L285+'DOE25'!L304+'DOE25'!L323,0)</f>
        <v>224146</v>
      </c>
      <c r="D18" s="182">
        <f t="shared" si="0"/>
        <v>8.5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197898</v>
      </c>
      <c r="D20" s="182">
        <f t="shared" si="0"/>
        <v>7.5</v>
      </c>
    </row>
    <row r="21" spans="1:4" x14ac:dyDescent="0.2">
      <c r="A21">
        <v>2700</v>
      </c>
      <c r="B21" t="s">
        <v>710</v>
      </c>
      <c r="C21" s="179">
        <f>ROUND('DOE25'!L209+'DOE25'!L227+'DOE25'!L245+'DOE25'!L288+'DOE25'!L307+'DOE25'!L326,0)</f>
        <v>144148</v>
      </c>
      <c r="D21" s="182">
        <f t="shared" si="0"/>
        <v>5.5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31136</v>
      </c>
      <c r="D27" s="182">
        <f t="shared" si="0"/>
        <v>1.2</v>
      </c>
    </row>
    <row r="28" spans="1:4" x14ac:dyDescent="0.2">
      <c r="B28" s="187" t="s">
        <v>719</v>
      </c>
      <c r="C28" s="180">
        <f>SUM(C10:C27)</f>
        <v>2623198</v>
      </c>
      <c r="D28" s="184">
        <f>ROUND(SUM(D10:D27),0)</f>
        <v>100</v>
      </c>
    </row>
    <row r="29" spans="1:4" x14ac:dyDescent="0.2">
      <c r="A29">
        <v>4000</v>
      </c>
      <c r="B29" t="s">
        <v>724</v>
      </c>
      <c r="C29" s="179">
        <f>ROUND('DOE25'!L256+'DOE25'!L337+'DOE25'!L375+'DOE25'!L376+'DOE25'!L377+'DOE25'!L378+'DOE25'!L379+'DOE25'!L380+'DOE25'!L381,0)</f>
        <v>6009</v>
      </c>
    </row>
    <row r="30" spans="1:4" x14ac:dyDescent="0.2">
      <c r="B30" s="187" t="s">
        <v>725</v>
      </c>
      <c r="C30" s="180">
        <f>SUM(C28:C29)</f>
        <v>2629207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1692969</v>
      </c>
      <c r="D35" s="182">
        <f t="shared" ref="D35:D40" si="1">ROUND((C35/$C$41)*100,1)</f>
        <v>64.599999999999994</v>
      </c>
    </row>
    <row r="36" spans="1:4" x14ac:dyDescent="0.2">
      <c r="B36" s="185" t="s">
        <v>739</v>
      </c>
      <c r="C36" s="179">
        <f>SUM('DOE25'!F112:J112)-SUM('DOE25'!G97:G110)+('DOE25'!F175+'DOE25'!F176+'DOE25'!I175+'DOE25'!I176)-C35</f>
        <v>44994.120000000112</v>
      </c>
      <c r="D36" s="182">
        <f t="shared" si="1"/>
        <v>1.7</v>
      </c>
    </row>
    <row r="37" spans="1:4" x14ac:dyDescent="0.2">
      <c r="A37" s="183" t="s">
        <v>835</v>
      </c>
      <c r="B37" s="185" t="s">
        <v>728</v>
      </c>
      <c r="C37" s="179">
        <f>ROUND('DOE25'!F117+'DOE25'!F118,0)</f>
        <v>788199</v>
      </c>
      <c r="D37" s="182">
        <f t="shared" si="1"/>
        <v>30.1</v>
      </c>
    </row>
    <row r="38" spans="1:4" x14ac:dyDescent="0.2">
      <c r="A38" s="183" t="s">
        <v>734</v>
      </c>
      <c r="B38" s="185" t="s">
        <v>729</v>
      </c>
      <c r="C38" s="179">
        <f>ROUND(SUM('DOE25'!F140:J140)-SUM('DOE25'!F117:F119),0)</f>
        <v>143</v>
      </c>
      <c r="D38" s="182">
        <f t="shared" si="1"/>
        <v>0</v>
      </c>
    </row>
    <row r="39" spans="1:4" x14ac:dyDescent="0.2">
      <c r="A39">
        <v>4000</v>
      </c>
      <c r="B39" s="185" t="s">
        <v>730</v>
      </c>
      <c r="C39" s="179">
        <f>ROUND('DOE25'!F170+'DOE25'!G170+'DOE25'!H170+'DOE25'!I170,0)</f>
        <v>95178</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2621483.12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M6"/>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 xml:space="preserve">         JACKSON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v>19</v>
      </c>
      <c r="B4" s="219">
        <v>6</v>
      </c>
      <c r="C4" s="377" t="s">
        <v>1673</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t="s">
        <v>1674</v>
      </c>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2021-09-28T19:12:07Z</cp:lastPrinted>
  <dcterms:created xsi:type="dcterms:W3CDTF">1997-12-04T19:04:30Z</dcterms:created>
  <dcterms:modified xsi:type="dcterms:W3CDTF">2021-09-30T13:38:51Z</dcterms:modified>
</cp:coreProperties>
</file>