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1002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96" i="1" l="1"/>
  <c r="I198" i="1" l="1"/>
  <c r="H203" i="1"/>
  <c r="G203" i="1"/>
  <c r="F203" i="1"/>
  <c r="G278" i="1" l="1"/>
  <c r="F278" i="1"/>
  <c r="I277" i="1"/>
  <c r="H155" i="1"/>
  <c r="H159" i="1"/>
  <c r="H154" i="1" l="1"/>
  <c r="G254" i="1"/>
  <c r="F110"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C12" i="10" s="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1" i="2"/>
  <c r="E124" i="2"/>
  <c r="E125" i="2"/>
  <c r="F128" i="2"/>
  <c r="G128" i="2"/>
  <c r="C130"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J652" i="1" s="1"/>
  <c r="H653" i="1"/>
  <c r="G654" i="1"/>
  <c r="H654" i="1"/>
  <c r="G655" i="1"/>
  <c r="H655" i="1"/>
  <c r="H656" i="1"/>
  <c r="G62" i="2"/>
  <c r="I170" i="1"/>
  <c r="E123" i="2" l="1"/>
  <c r="E119" i="2"/>
  <c r="G646" i="1"/>
  <c r="J572" i="1"/>
  <c r="D50" i="2"/>
  <c r="E131" i="2"/>
  <c r="D6" i="13"/>
  <c r="C6" i="13" s="1"/>
  <c r="C110" i="2"/>
  <c r="E110" i="2"/>
  <c r="G339" i="1"/>
  <c r="G353" i="1" s="1"/>
  <c r="H477" i="1"/>
  <c r="H625" i="1" s="1"/>
  <c r="J656" i="1"/>
  <c r="G553" i="1"/>
  <c r="K339" i="1"/>
  <c r="K353" i="1" s="1"/>
  <c r="C121" i="2"/>
  <c r="C120" i="2"/>
  <c r="J258" i="1"/>
  <c r="J272" i="1" s="1"/>
  <c r="G409" i="1"/>
  <c r="H646" i="1" s="1"/>
  <c r="H409" i="1"/>
  <c r="H645" i="1" s="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646" i="1" l="1"/>
  <c r="E115" i="2"/>
  <c r="L572" i="1"/>
  <c r="H661" i="1"/>
  <c r="H665" i="1" s="1"/>
  <c r="H668" i="1" s="1"/>
  <c r="H194" i="1"/>
  <c r="G630" i="1" s="1"/>
  <c r="J630" i="1" s="1"/>
  <c r="F194" i="1"/>
  <c r="G628" i="1" s="1"/>
  <c r="J628" i="1" s="1"/>
  <c r="E51" i="2"/>
  <c r="F661" i="1"/>
  <c r="F665" i="1" s="1"/>
  <c r="F668" i="1" s="1"/>
  <c r="C81" i="2"/>
  <c r="H649" i="1"/>
  <c r="J649" i="1" s="1"/>
  <c r="C141" i="2"/>
  <c r="C144" i="2" s="1"/>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<sst xmlns="http://schemas.openxmlformats.org/spreadsheetml/2006/main" count="5584" uniqueCount="1674">
  <si>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</si>
  <si>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</si>
  <si>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</si>
  <si>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</si>
  <si>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</si>
  <si>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</si>
  <si>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</si>
  <si>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</si>
  <si>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</si>
  <si>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</si>
  <si>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</si>
  <si>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</si>
  <si>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</si>
  <si>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</si>
  <si>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</si>
  <si>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</si>
  <si>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</si>
  <si>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</si>
  <si>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</si>
  <si>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</si>
  <si>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</si>
  <si>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</si>
  <si>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</si>
  <si>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</si>
  <si>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</si>
  <si>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</si>
  <si>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</si>
  <si>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</si>
  <si>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</si>
  <si>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</si>
  <si>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</si>
  <si>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</si>
  <si>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</si>
  <si>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</si>
  <si>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</si>
  <si>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</si>
  <si>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</si>
  <si>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</si>
  <si>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</si>
  <si>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</si>
  <si>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</si>
  <si>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</si>
  <si>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</si>
  <si>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</si>
  <si>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</si>
  <si>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</si>
  <si>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</si>
  <si>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</si>
  <si>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</si>
  <si>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</si>
  <si>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</si>
  <si>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</si>
  <si>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</si>
  <si>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</si>
  <si>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</si>
  <si>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</si>
  <si>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</si>
  <si>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</si>
  <si>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</si>
  <si>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</si>
  <si>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</si>
  <si>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</si>
  <si>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</si>
  <si>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</si>
  <si>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</si>
  <si>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</si>
  <si>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</si>
  <si>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</si>
  <si>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</si>
  <si>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</si>
  <si>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</si>
  <si>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</si>
  <si>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</si>
  <si>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</si>
  <si>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</si>
  <si>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</si>
  <si>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</si>
  <si>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</si>
  <si>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</si>
  <si>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</si>
  <si>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</si>
  <si>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</si>
  <si>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</si>
  <si>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</si>
  <si>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</si>
  <si>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</si>
  <si>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</si>
  <si>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</si>
  <si>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</si>
  <si>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</si>
  <si>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</si>
  <si>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</si>
  <si>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</si>
  <si>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</si>
  <si>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</si>
  <si>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</si>
  <si>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</si>
  <si>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</si>
  <si>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</si>
  <si>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</si>
  <si>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</si>
  <si>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</si>
  <si>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</si>
  <si>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</si>
  <si>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</si>
  <si>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</si>
  <si>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</si>
  <si>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</si>
  <si>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</si>
  <si>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</si>
  <si>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</si>
  <si>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</si>
  <si>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</si>
  <si>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</si>
  <si>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</si>
  <si>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</si>
  <si>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</si>
  <si>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</si>
  <si>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</si>
  <si>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</si>
  <si>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</si>
  <si>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</si>
  <si>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</si>
  <si>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</si>
  <si>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</si>
  <si>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</si>
  <si>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</si>
  <si>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</si>
  <si>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</si>
  <si>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</si>
  <si>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</si>
  <si>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</si>
  <si>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</si>
  <si>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</si>
  <si>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</si>
  <si>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</si>
  <si>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</si>
  <si>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</si>
  <si>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</si>
  <si>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</si>
  <si>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</si>
  <si>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</si>
  <si>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</si>
  <si>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</si>
  <si>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</si>
  <si>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</si>
  <si>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</si>
  <si>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</si>
  <si>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</si>
  <si>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</si>
  <si>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</si>
  <si>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</si>
  <si>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</si>
  <si>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</si>
  <si>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</si>
  <si>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</si>
  <si>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</si>
  <si>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</si>
  <si>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</si>
  <si>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</si>
  <si>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</si>
  <si>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</si>
  <si>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</si>
  <si>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</si>
  <si>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</si>
  <si>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</si>
  <si>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</si>
  <si>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</si>
  <si>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</si>
  <si>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</si>
  <si>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</si>
  <si>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</si>
  <si>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</si>
  <si>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</si>
  <si>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</si>
  <si>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</si>
  <si>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</si>
  <si>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</si>
  <si>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</si>
  <si>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</si>
  <si>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</si>
  <si>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</si>
  <si>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</si>
  <si>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</si>
  <si>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</si>
  <si>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</si>
  <si>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</si>
  <si>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</si>
  <si>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</si>
  <si>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</si>
  <si>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</si>
  <si>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</si>
  <si>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</si>
  <si>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</si>
  <si>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</si>
  <si>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</si>
  <si>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</si>
  <si>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</si>
  <si>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</si>
  <si>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</si>
  <si>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</si>
  <si>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</si>
  <si>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</si>
  <si>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</si>
  <si>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</si>
  <si>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</si>
  <si>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</si>
  <si>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</si>
  <si>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</si>
  <si>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</si>
  <si>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</si>
  <si>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</si>
  <si>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</si>
  <si>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</si>
  <si>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</si>
  <si>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</si>
  <si>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</si>
  <si>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</si>
  <si>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</si>
  <si>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</si>
  <si>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</si>
  <si>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</si>
  <si>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</si>
  <si>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</si>
  <si>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</si>
  <si>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</si>
  <si>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</si>
  <si>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</si>
  <si>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</si>
  <si>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</si>
  <si>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</si>
  <si>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</si>
  <si>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</si>
  <si>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</si>
  <si>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</si>
  <si>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</si>
  <si>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</si>
  <si>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</si>
  <si>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</si>
  <si>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</si>
  <si>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</si>
  <si>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</si>
  <si>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</si>
  <si>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</si>
  <si>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</si>
  <si>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</si>
  <si>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</si>
  <si>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</si>
  <si>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</si>
  <si>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</si>
  <si>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</si>
  <si>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</si>
  <si>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</si>
  <si>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</si>
  <si>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</si>
  <si>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</si>
  <si>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</si>
  <si>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</si>
  <si>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</si>
  <si>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</si>
  <si>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</si>
  <si>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</si>
  <si>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</si>
  <si>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</si>
  <si>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</si>
  <si>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</si>
  <si>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</si>
  <si>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</si>
  <si>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</si>
  <si>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</si>
  <si>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</si>
  <si>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</si>
  <si>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</si>
  <si>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</si>
  <si>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</si>
  <si>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</si>
  <si>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</si>
  <si>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</si>
  <si>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</si>
  <si>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</si>
  <si>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</si>
  <si>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</si>
  <si>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</si>
  <si>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</si>
  <si>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</si>
  <si>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</si>
  <si>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</si>
  <si>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</si>
  <si>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</si>
  <si>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</si>
  <si>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</si>
  <si>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</si>
  <si>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</si>
  <si>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</si>
  <si>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</si>
  <si>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</si>
  <si>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</si>
  <si>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</si>
  <si>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</si>
  <si>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</si>
  <si>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</si>
  <si>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</si>
  <si>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</si>
  <si>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</si>
  <si>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</si>
  <si>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</si>
  <si>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</si>
  <si>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</si>
  <si>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</si>
  <si>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</si>
  <si>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</si>
  <si>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</si>
  <si>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</si>
  <si>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</si>
  <si>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</si>
  <si>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</si>
  <si>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</si>
  <si>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</si>
  <si>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</si>
  <si>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</si>
  <si>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</si>
  <si>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</si>
  <si>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</si>
  <si>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</si>
  <si>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</si>
  <si>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</si>
  <si>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</si>
  <si>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</si>
  <si>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</si>
  <si>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</si>
  <si>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</si>
  <si>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</si>
  <si>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</si>
  <si>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</si>
  <si>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</si>
  <si>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</si>
  <si>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</si>
  <si>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</si>
  <si>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</si>
  <si>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</si>
  <si>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</si>
  <si>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</si>
  <si>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</si>
  <si>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</si>
  <si>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</si>
  <si>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</si>
  <si>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</si>
  <si>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</si>
  <si>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</si>
  <si>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</si>
  <si>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</si>
  <si>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</si>
  <si>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</si>
  <si>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</si>
  <si>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</si>
  <si>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</si>
  <si>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</si>
  <si>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</si>
  <si>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</si>
  <si>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</si>
  <si>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</si>
  <si>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</si>
  <si>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</si>
  <si>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</si>
  <si>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</si>
  <si>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</si>
  <si>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</si>
  <si>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</si>
  <si>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</si>
  <si>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</si>
  <si>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</si>
  <si>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</si>
  <si>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</si>
  <si>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</si>
  <si>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</si>
  <si>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</si>
  <si>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</si>
  <si>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</si>
  <si>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</si>
  <si>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</si>
  <si>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</si>
  <si>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</si>
  <si>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</si>
  <si>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</si>
  <si>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</si>
  <si>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</si>
  <si>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</si>
  <si>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</si>
  <si>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</si>
  <si>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</si>
  <si>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</si>
  <si>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</si>
  <si>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</si>
  <si>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</si>
  <si>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</si>
  <si>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</si>
  <si>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</si>
  <si>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</si>
  <si>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</si>
  <si>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</si>
  <si>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</si>
  <si>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</si>
  <si>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</si>
  <si>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</si>
  <si>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</si>
  <si>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</si>
  <si>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</si>
  <si>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</si>
  <si>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</si>
  <si>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</si>
  <si>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</si>
  <si>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</si>
  <si>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</si>
  <si>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</si>
  <si>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</si>
  <si>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</si>
  <si>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</si>
  <si>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</si>
  <si>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</si>
  <si>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</si>
  <si>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</si>
  <si>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</si>
  <si>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</si>
  <si>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</si>
  <si>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</si>
  <si>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</si>
  <si>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</si>
  <si>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</si>
  <si>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</si>
  <si>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</si>
  <si>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</si>
  <si>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</si>
  <si>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</si>
  <si>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</si>
  <si>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</si>
  <si>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</si>
  <si>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</si>
  <si>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</si>
  <si>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</si>
  <si>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</si>
  <si>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</si>
  <si>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</si>
  <si>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</si>
  <si>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</si>
  <si>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</si>
  <si>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</si>
  <si>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</si>
  <si>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</si>
  <si>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</si>
  <si>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</si>
  <si>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</si>
  <si>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</si>
  <si>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</si>
  <si>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</si>
  <si>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</si>
  <si>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</si>
  <si>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</si>
  <si>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</si>
  <si>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</si>
  <si>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</si>
  <si>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</si>
  <si>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</si>
  <si>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</si>
  <si>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</si>
  <si>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</si>
  <si>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</si>
  <si>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</si>
  <si>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</si>
  <si>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</si>
  <si>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</si>
  <si>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</si>
  <si>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</si>
  <si>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</si>
  <si>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</si>
  <si>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</si>
  <si>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</si>
  <si>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</si>
  <si>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</si>
  <si>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</si>
  <si>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</si>
  <si>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</si>
  <si>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</si>
  <si>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</si>
  <si>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</si>
  <si>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</si>
  <si>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</si>
  <si>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</si>
  <si>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</si>
  <si>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</si>
  <si>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</si>
  <si>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</si>
  <si>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</si>
  <si>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</si>
  <si>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</si>
  <si>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</si>
  <si>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</si>
  <si>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</si>
  <si>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</si>
  <si>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</si>
  <si>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</si>
  <si>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</si>
  <si>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</si>
  <si>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</si>
  <si>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</si>
  <si>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</si>
  <si>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</si>
  <si>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</si>
  <si>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</si>
  <si>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</si>
  <si>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</si>
  <si>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</si>
  <si>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</si>
  <si>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</si>
  <si>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</si>
  <si>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</si>
  <si>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</si>
  <si>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</si>
  <si>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</si>
  <si>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</si>
  <si>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</si>
  <si>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</si>
  <si>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</si>
  <si>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</si>
  <si>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</si>
  <si>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</si>
  <si>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</si>
  <si>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</si>
  <si>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</si>
  <si>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</si>
  <si>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</si>
  <si>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</si>
  <si>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</si>
  <si>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</si>
  <si>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</si>
  <si>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</si>
  <si>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</si>
  <si>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</si>
  <si>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</si>
  <si>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</si>
  <si>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</si>
  <si>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</si>
  <si>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</si>
  <si>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</si>
  <si>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</si>
  <si>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</si>
  <si>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</si>
  <si>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</si>
  <si>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</si>
  <si>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</si>
  <si>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</si>
  <si>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</si>
  <si>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</si>
  <si>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</si>
  <si>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</si>
  <si>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</si>
  <si>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</si>
  <si>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</si>
  <si>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</si>
  <si>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</si>
  <si>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</si>
  <si>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</si>
  <si>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</si>
  <si>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</si>
  <si>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</si>
  <si>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</si>
  <si>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</si>
  <si>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</si>
  <si>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</si>
  <si>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</si>
  <si>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</si>
  <si>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</si>
  <si>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</si>
  <si>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</si>
  <si>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</si>
  <si>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</si>
  <si>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</si>
  <si>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</si>
  <si>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</si>
  <si>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</si>
  <si>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</si>
  <si>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</si>
  <si>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</si>
  <si>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</si>
  <si>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</si>
  <si>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</si>
  <si>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</si>
  <si>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</si>
  <si>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</si>
  <si>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</si>
  <si>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</si>
  <si>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</si>
  <si>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</si>
  <si>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</si>
  <si>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</si>
  <si>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</si>
  <si>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</si>
  <si>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</si>
  <si>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</si>
  <si>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</si>
  <si>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</si>
  <si>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</si>
  <si>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</si>
  <si>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</si>
  <si>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</si>
  <si>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</si>
  <si>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</si>
  <si>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</si>
  <si>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</si>
  <si>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</si>
  <si>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</si>
  <si>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</si>
  <si>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</si>
  <si>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</si>
  <si>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</si>
  <si>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</si>
  <si>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</si>
  <si>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</si>
  <si>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</si>
  <si>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</si>
  <si>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</si>
  <si>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</si>
  <si>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</si>
  <si>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</si>
  <si>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</si>
  <si>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</si>
  <si>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</si>
  <si>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</si>
  <si>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</si>
  <si>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</si>
  <si>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</si>
  <si>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</si>
  <si>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</si>
  <si>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</si>
  <si>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</si>
  <si>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</si>
  <si>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</si>
  <si>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</si>
  <si>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</si>
  <si>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</si>
  <si>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</si>
  <si>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</si>
  <si>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</si>
  <si>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</si>
  <si>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</si>
  <si>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</si>
  <si>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</si>
  <si>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</si>
  <si>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</si>
  <si>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</si>
  <si>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</si>
  <si>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</si>
  <si>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</si>
  <si>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</si>
  <si>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</si>
  <si>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</si>
  <si>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</si>
  <si>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</si>
  <si>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</si>
  <si>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</si>
  <si>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</si>
  <si>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</si>
  <si>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</si>
  <si>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</si>
  <si>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</si>
  <si>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</si>
  <si>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</si>
  <si>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</si>
  <si>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</si>
  <si>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</si>
  <si>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</si>
  <si>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</si>
  <si>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</si>
  <si>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</si>
  <si>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</si>
  <si>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</si>
  <si>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</si>
  <si>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</si>
  <si>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</si>
  <si>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</si>
  <si>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</si>
  <si>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</si>
  <si>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</si>
  <si>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</si>
  <si>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</si>
  <si>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</si>
  <si>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</si>
  <si>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</si>
  <si>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</si>
  <si>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</si>
  <si>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</si>
  <si>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</si>
  <si>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</si>
  <si>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</si>
  <si>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</si>
  <si>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</si>
  <si>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</si>
  <si>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</si>
  <si>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</si>
  <si>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</si>
  <si>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</si>
  <si>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</si>
  <si>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</si>
  <si>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</si>
  <si>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</si>
  <si>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</si>
  <si>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</si>
  <si>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</si>
  <si>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</si>
  <si>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</si>
  <si>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</si>
  <si>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</si>
  <si>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</si>
  <si>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</si>
  <si>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</si>
  <si>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</si>
  <si>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</si>
  <si>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</si>
  <si>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</si>
  <si>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</si>
  <si>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</si>
  <si>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</si>
  <si>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</si>
  <si>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</si>
  <si>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</si>
  <si>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</si>
  <si>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</si>
  <si>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</si>
  <si>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</si>
  <si>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</si>
  <si>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</si>
  <si>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</si>
  <si>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</si>
  <si>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</si>
  <si>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</si>
  <si>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</si>
  <si>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</si>
  <si>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</si>
  <si>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</si>
  <si>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</si>
  <si>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</si>
  <si>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</si>
  <si>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</si>
  <si>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</si>
  <si>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</si>
  <si>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</si>
  <si>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</si>
  <si>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</si>
  <si>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</si>
  <si>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</si>
  <si>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</si>
  <si>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</si>
  <si>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</si>
  <si>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</si>
  <si>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</si>
  <si>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</si>
  <si>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</si>
  <si>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</si>
  <si>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</si>
  <si>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</si>
  <si>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</si>
  <si>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</si>
  <si>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</si>
  <si>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</si>
  <si>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</si>
  <si>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</si>
  <si>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</si>
  <si>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</si>
  <si>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</si>
  <si>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</si>
  <si>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</si>
  <si>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</si>
  <si>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</si>
  <si>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</si>
  <si>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</si>
  <si>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</si>
  <si>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</si>
  <si>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</si>
  <si>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</si>
  <si>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</si>
  <si>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</si>
  <si>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</si>
  <si>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</si>
  <si>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</si>
  <si>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</si>
  <si>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</si>
  <si>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</si>
  <si>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</si>
  <si>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</si>
  <si>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</si>
  <si>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</si>
  <si>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</si>
  <si>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</si>
  <si>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</si>
  <si>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</si>
  <si>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</si>
  <si>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</si>
  <si>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</si>
  <si>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</si>
  <si>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</si>
  <si>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</si>
  <si>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</si>
  <si>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</si>
  <si>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</si>
  <si>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</si>
  <si>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</si>
  <si>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</si>
  <si>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</si>
  <si>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</si>
  <si>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</si>
  <si>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</si>
  <si>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</si>
  <si>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</si>
  <si>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</si>
  <si>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</si>
  <si>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</si>
  <si>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</si>
  <si>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</si>
  <si>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</si>
  <si>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</si>
  <si>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</si>
  <si>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</si>
  <si>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</si>
  <si>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</si>
  <si>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</si>
  <si>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</si>
  <si>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</si>
  <si>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</si>
  <si>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</si>
  <si>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</si>
  <si>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</si>
  <si>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</si>
  <si>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</si>
  <si>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</si>
  <si>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</si>
  <si>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</si>
  <si>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</si>
  <si>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</si>
  <si>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</si>
  <si>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</si>
  <si>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</si>
  <si>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</si>
  <si>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</si>
  <si>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</si>
  <si>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</si>
  <si>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</si>
  <si>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</si>
  <si>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</si>
  <si>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</si>
  <si>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</si>
  <si>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</si>
  <si>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</si>
  <si>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</si>
  <si>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</si>
  <si>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</si>
  <si>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</si>
  <si>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</si>
  <si>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</si>
  <si>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</si>
  <si>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</si>
  <si>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</si>
  <si>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</si>
  <si>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</si>
  <si>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</si>
  <si>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</si>
  <si>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</si>
  <si>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</si>
  <si>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</si>
  <si>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</si>
  <si>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</si>
  <si>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</si>
  <si>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</si>
  <si>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</si>
  <si>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</si>
  <si>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</si>
  <si>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</si>
  <si>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</si>
  <si>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</si>
  <si>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</si>
  <si>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</si>
  <si>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</si>
  <si>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</si>
  <si>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</si>
  <si>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</si>
  <si>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</si>
  <si>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</si>
  <si>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</si>
  <si>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</si>
  <si>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</si>
  <si>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</si>
  <si>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</si>
  <si>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</si>
  <si>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</si>
  <si>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</si>
  <si>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</si>
  <si>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</si>
  <si>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</si>
  <si>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</si>
  <si>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</si>
  <si>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</si>
  <si>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</si>
  <si>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</si>
  <si>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</si>
  <si>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</si>
  <si>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</si>
  <si>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</si>
  <si>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</si>
  <si>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</si>
  <si>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</si>
  <si>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</si>
  <si>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</si>
  <si>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</si>
  <si>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</si>
  <si>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</si>
  <si>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</si>
  <si>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</si>
  <si>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</si>
  <si>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</si>
  <si>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</si>
  <si>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</si>
  <si>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</si>
  <si>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</si>
  <si>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</si>
  <si>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</si>
  <si>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</si>
  <si>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</si>
  <si>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</si>
  <si>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</si>
  <si>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</si>
  <si>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</si>
  <si>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</si>
  <si>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</si>
  <si>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</si>
  <si>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</si>
  <si>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</si>
  <si>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</si>
  <si>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</si>
  <si>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</si>
  <si>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</si>
  <si>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</si>
  <si>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</si>
  <si>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</si>
  <si>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</si>
  <si>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</si>
  <si>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</si>
  <si>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</si>
  <si>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</si>
  <si>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</si>
  <si>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</si>
  <si>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</si>
  <si>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</si>
  <si>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</si>
  <si>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</si>
  <si>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</si>
  <si>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</si>
  <si>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</si>
  <si>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</si>
  <si>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</si>
  <si>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</si>
  <si>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</si>
  <si>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</si>
  <si>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</si>
  <si>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</si>
  <si>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</si>
  <si>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</si>
  <si>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</si>
  <si>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</si>
  <si>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</si>
  <si>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</si>
  <si>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</si>
  <si>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</si>
  <si>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</si>
  <si>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</si>
  <si>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</si>
  <si>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</si>
  <si>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</si>
  <si>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</si>
  <si>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</si>
  <si>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</si>
  <si>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</si>
  <si>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</si>
  <si>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</si>
  <si>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</si>
  <si>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</si>
  <si>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</si>
  <si>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</si>
  <si>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</si>
  <si>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</si>
  <si>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</si>
  <si>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</si>
  <si>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</si>
  <si>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</si>
  <si>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</si>
  <si>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</si>
  <si>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</si>
  <si>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</si>
  <si>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</si>
  <si>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</si>
  <si>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</si>
  <si>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</si>
  <si>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</si>
  <si>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</si>
  <si>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</si>
  <si>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</si>
  <si>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</si>
  <si>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</si>
  <si>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</si>
  <si>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</si>
  <si>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</si>
  <si>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</si>
  <si>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</si>
  <si>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</si>
  <si>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</si>
  <si>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</si>
  <si>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</si>
  <si>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</si>
  <si>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</si>
  <si>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</si>
  <si>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</si>
  <si>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</si>
  <si>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</si>
  <si>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</si>
  <si>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</si>
  <si>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</si>
  <si>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</si>
  <si>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</si>
  <si>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</si>
  <si>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</si>
  <si>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</si>
  <si>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</si>
  <si>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</si>
  <si>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</si>
  <si>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</si>
  <si>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</si>
  <si>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</si>
  <si>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</si>
  <si>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</si>
  <si>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</si>
  <si>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</si>
  <si>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</si>
  <si>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</si>
  <si>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</si>
  <si>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</si>
  <si>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</si>
  <si>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</si>
  <si>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</si>
  <si>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</si>
  <si>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</si>
  <si>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</si>
  <si>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</si>
  <si>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</si>
  <si>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</si>
  <si>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</si>
  <si>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</si>
  <si>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</si>
  <si>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</si>
  <si>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</si>
  <si>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</si>
  <si>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</si>
  <si>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</si>
  <si>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</si>
  <si>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</si>
  <si>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</si>
  <si>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</si>
  <si>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</si>
  <si>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</si>
  <si>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</si>
  <si>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</si>
  <si>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</si>
  <si>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</si>
  <si>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</si>
  <si>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</si>
  <si>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</si>
  <si>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</si>
  <si>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</si>
  <si>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</si>
  <si>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</si>
  <si>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</si>
  <si>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</si>
  <si>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</si>
  <si>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</si>
  <si>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</si>
  <si>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</si>
  <si>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</si>
  <si>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</si>
  <si>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</si>
  <si>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</si>
  <si>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</si>
  <si>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</si>
  <si>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</si>
  <si>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</si>
  <si>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</si>
  <si>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</si>
  <si>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</si>
  <si>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</si>
  <si>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</si>
  <si>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</si>
  <si>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</si>
  <si>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</si>
  <si>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</si>
  <si>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</si>
  <si>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</si>
  <si>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</si>
  <si>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</si>
  <si>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</si>
  <si>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</si>
  <si>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</si>
  <si>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</si>
  <si>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</si>
  <si>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</si>
  <si>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</si>
  <si>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</si>
  <si>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</si>
  <si>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</si>
  <si>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</si>
  <si>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</si>
  <si>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</si>
  <si>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</si>
  <si>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</si>
  <si>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</si>
  <si>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</si>
  <si>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</si>
  <si>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</si>
  <si>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</si>
  <si>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</si>
  <si>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</si>
  <si>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</si>
  <si>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</si>
  <si>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</si>
  <si>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</si>
  <si>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</si>
  <si>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</si>
  <si>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</si>
  <si>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</si>
  <si>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</si>
  <si>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</si>
  <si>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</si>
  <si>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</si>
  <si>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</si>
  <si>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</si>
  <si>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</si>
  <si>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</si>
  <si>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</si>
  <si>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</si>
  <si>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</si>
  <si>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</si>
  <si>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</si>
  <si>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</si>
  <si>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</si>
  <si>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</si>
  <si>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</si>
  <si>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</si>
  <si>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</si>
  <si>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</si>
  <si>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</si>
  <si>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</si>
  <si>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</si>
  <si>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</si>
  <si>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</si>
  <si>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</si>
  <si>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</si>
  <si>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</si>
  <si>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</si>
  <si>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</si>
  <si>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</si>
  <si>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</si>
  <si>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</si>
  <si>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</si>
  <si>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</si>
  <si>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</si>
  <si>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</si>
  <si>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</si>
  <si>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</si>
  <si>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</si>
  <si>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</si>
  <si>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</si>
  <si>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</si>
  <si>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</si>
  <si>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</si>
  <si>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</si>
  <si>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</si>
  <si>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</si>
  <si>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</si>
  <si>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</si>
  <si>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</si>
  <si>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</si>
  <si>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</si>
  <si>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</si>
  <si>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</si>
  <si>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</si>
  <si>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</si>
  <si>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</si>
  <si>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</si>
  <si>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</si>
  <si>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</si>
  <si>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</si>
  <si>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</si>
  <si>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</si>
  <si>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</si>
  <si>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</si>
  <si>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</si>
  <si>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</si>
  <si>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</si>
  <si>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</si>
  <si>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</si>
  <si>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</si>
  <si>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</si>
  <si>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</si>
  <si>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</si>
  <si>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</si>
  <si>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</si>
  <si>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</si>
  <si>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</si>
  <si>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</si>
  <si>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</si>
  <si>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</si>
  <si>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</si>
  <si>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</si>
  <si>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</si>
  <si>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</si>
  <si>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</si>
  <si>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</si>
  <si>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</si>
  <si>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</si>
  <si>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</si>
  <si>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</si>
  <si>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</si>
  <si>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</si>
  <si>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</si>
  <si>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</si>
  <si>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</si>
  <si>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</si>
  <si>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</si>
  <si>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</si>
  <si>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</si>
  <si>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</si>
  <si>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</si>
  <si>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</si>
  <si>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</si>
  <si>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</si>
  <si>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</si>
  <si>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</si>
  <si>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</si>
  <si>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</si>
  <si>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</si>
  <si>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</si>
  <si>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</si>
  <si>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</si>
  <si>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</si>
  <si>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</si>
  <si>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</si>
  <si>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</si>
  <si>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</si>
  <si>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</si>
  <si>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</si>
  <si>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</si>
  <si>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</si>
  <si>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</si>
  <si>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</si>
  <si>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</si>
  <si>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</si>
  <si>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</si>
  <si>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</si>
  <si>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</si>
  <si>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</si>
  <si>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</si>
  <si>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</si>
  <si>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</si>
  <si>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</si>
  <si>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</si>
  <si>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</si>
  <si>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</si>
  <si>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</si>
  <si>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</si>
  <si>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</si>
  <si>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</si>
  <si>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</si>
  <si>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</si>
  <si>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</si>
  <si>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</si>
  <si>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</si>
  <si>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</si>
  <si>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</si>
  <si>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</si>
  <si>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</si>
  <si>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</si>
  <si>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</si>
  <si>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</si>
  <si>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</si>
  <si>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</si>
  <si>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</si>
  <si>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</si>
  <si>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</si>
  <si>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</si>
  <si>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</si>
  <si>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</si>
  <si>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</si>
  <si>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</si>
  <si>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</si>
  <si>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</si>
  <si>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</si>
  <si>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</si>
  <si>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</si>
  <si>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</si>
  <si>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</si>
  <si>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</si>
  <si>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</si>
  <si>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</si>
  <si>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</si>
  <si>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</si>
  <si>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</si>
  <si>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</si>
  <si>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</si>
  <si>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</si>
  <si>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</si>
  <si>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</si>
  <si>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</si>
  <si>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</si>
  <si>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</si>
  <si>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</si>
  <si>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</si>
  <si>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</si>
  <si>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</si>
  <si>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</si>
  <si>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</si>
  <si>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</si>
  <si>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</si>
  <si>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</si>
  <si>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</si>
  <si>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</si>
  <si>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</si>
  <si>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</si>
  <si>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</si>
  <si>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</si>
  <si>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</si>
  <si>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</si>
  <si>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</si>
  <si>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</si>
  <si>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</si>
  <si>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</si>
  <si>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</si>
  <si>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</si>
  <si>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</si>
  <si>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</si>
  <si>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</si>
  <si>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</si>
  <si>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</si>
  <si>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</si>
  <si>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</si>
  <si>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</si>
  <si>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</si>
  <si>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</si>
  <si>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</si>
  <si>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</si>
  <si>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</si>
  <si>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</si>
  <si>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</si>
  <si>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</si>
  <si>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</si>
  <si>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</si>
  <si>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</si>
  <si>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</si>
  <si>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</si>
  <si>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</si>
  <si>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</si>
  <si>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</si>
  <si>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</si>
  <si>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</si>
  <si>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</si>
  <si>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</si>
  <si>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</si>
  <si>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</si>
  <si>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</si>
  <si>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</si>
  <si>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</si>
  <si>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</si>
  <si>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</si>
  <si>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</si>
  <si>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</si>
  <si>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</si>
  <si>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</si>
  <si>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</si>
  <si>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</si>
  <si>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</si>
  <si>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</si>
  <si>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</si>
  <si>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</si>
  <si>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</si>
  <si>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</si>
  <si>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</si>
  <si>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</si>
  <si>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</si>
  <si>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</si>
  <si>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</si>
  <si>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</si>
  <si>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</si>
  <si>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</si>
  <si>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</si>
  <si>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</si>
  <si>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</si>
  <si>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</si>
  <si>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</si>
  <si>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</si>
  <si>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</si>
  <si>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</si>
  <si>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</si>
  <si>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</si>
  <si>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</si>
  <si>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</si>
  <si>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</si>
  <si>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</si>
  <si>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</si>
  <si>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</si>
  <si>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</si>
  <si>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</si>
  <si>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</si>
  <si>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</si>
  <si>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</si>
  <si>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</si>
  <si>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</si>
  <si>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</si>
  <si>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</si>
  <si>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</si>
  <si>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</si>
  <si>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</si>
  <si>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</si>
  <si>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</si>
  <si>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</si>
  <si>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</si>
  <si>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</si>
  <si>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</si>
  <si>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</si>
  <si>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</si>
  <si>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</si>
  <si>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</si>
  <si>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</si>
  <si>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</si>
  <si>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</si>
  <si>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</si>
  <si>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</si>
  <si>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</si>
  <si>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</si>
  <si>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</si>
  <si>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</si>
  <si>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</si>
  <si>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</si>
  <si>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</si>
  <si>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</si>
  <si>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</si>
  <si>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</si>
  <si>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</si>
  <si>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</si>
  <si>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</si>
  <si>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</si>
  <si>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</si>
  <si>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</si>
  <si>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</si>
  <si>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</si>
  <si>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</si>
  <si>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</si>
  <si>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</si>
  <si>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</si>
  <si>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</si>
  <si>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</si>
  <si>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</si>
  <si>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</si>
  <si>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</si>
  <si>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</si>
  <si>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</si>
  <si>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</si>
  <si>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</si>
  <si>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</si>
  <si>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</si>
  <si>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</si>
  <si>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</si>
  <si>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</si>
  <si>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</si>
  <si>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</si>
  <si>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</si>
  <si>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</si>
  <si>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</si>
  <si>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</si>
  <si>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</si>
  <si>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</si>
  <si>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</si>
  <si>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</si>
  <si>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</si>
  <si>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</si>
  <si>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</si>
  <si>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</si>
  <si>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</si>
  <si>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</si>
  <si>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</si>
  <si>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</si>
  <si>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</si>
  <si>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</si>
  <si>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</si>
  <si>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</si>
  <si>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</si>
  <si>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</si>
  <si>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</si>
  <si>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</si>
  <si>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</si>
  <si>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</si>
  <si>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</si>
  <si>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</si>
  <si>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</si>
  <si>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</si>
  <si>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</si>
  <si>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</si>
  <si>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</si>
  <si>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</si>
  <si>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</si>
  <si>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</si>
  <si>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</si>
  <si>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</si>
  <si>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</si>
  <si>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</si>
  <si>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</si>
  <si>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</si>
  <si>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</si>
  <si>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</si>
  <si>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</si>
  <si>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</si>
  <si>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</si>
  <si>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</si>
  <si>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</si>
  <si>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</si>
  <si>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</si>
  <si>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</si>
  <si>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</si>
  <si>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</si>
  <si>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</si>
  <si>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</si>
  <si>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</si>
  <si>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</si>
  <si>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</si>
  <si>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</si>
  <si>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</si>
  <si>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</si>
  <si>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</si>
  <si>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</si>
  <si>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</si>
  <si>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</si>
  <si>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</si>
  <si>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</si>
  <si>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</si>
  <si>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</si>
  <si>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</si>
  <si>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</si>
  <si>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</si>
  <si>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</si>
  <si>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</si>
  <si>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</si>
  <si>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</si>
  <si>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</si>
  <si>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</si>
  <si>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</si>
  <si>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</si>
  <si>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</si>
  <si>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</si>
  <si>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</si>
  <si>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</si>
  <si>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</si>
  <si>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</si>
  <si>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</si>
  <si>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</si>
  <si>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</si>
  <si>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</si>
  <si>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</si>
  <si>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</si>
  <si>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</si>
  <si>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</si>
  <si>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</si>
  <si>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</si>
  <si>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</si>
  <si>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</si>
  <si>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</si>
  <si>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</si>
  <si>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</si>
  <si>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</si>
  <si>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</si>
  <si>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</si>
  <si>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</si>
  <si>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</si>
  <si>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</si>
  <si>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</si>
  <si>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</si>
  <si>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</si>
  <si>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</si>
  <si>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</si>
  <si>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</si>
  <si>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</si>
  <si>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</si>
  <si>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</si>
  <si>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</si>
  <si>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</si>
  <si>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</si>
  <si>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</si>
  <si>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</si>
  <si>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</si>
  <si>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</si>
  <si>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</si>
  <si>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</si>
  <si>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</si>
  <si>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</si>
  <si>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</si>
  <si>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</si>
  <si>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</si>
  <si>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</si>
  <si>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</si>
  <si>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</si>
  <si>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</si>
  <si>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</si>
  <si>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</si>
  <si>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</si>
  <si>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</si>
  <si>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</si>
  <si>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</si>
  <si>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</si>
  <si>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</si>
  <si>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</si>
  <si>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</si>
  <si>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</si>
  <si>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</si>
  <si>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</si>
  <si>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</si>
  <si>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</si>
  <si>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</si>
  <si>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</si>
  <si>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</si>
  <si>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</si>
  <si>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</si>
  <si>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</si>
  <si>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</si>
  <si>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</si>
  <si>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</si>
  <si>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</si>
  <si>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</si>
  <si>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</si>
  <si>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</si>
  <si>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</si>
  <si>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</si>
  <si>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</si>
  <si>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</si>
  <si>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</si>
  <si>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</si>
  <si>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</si>
  <si>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</si>
  <si>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</si>
  <si>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</si>
  <si>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</si>
  <si>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</si>
  <si>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</si>
  <si>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</si>
  <si>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</si>
  <si>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</si>
  <si>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</si>
  <si>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</si>
  <si>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</si>
  <si>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</si>
  <si>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</si>
  <si>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</si>
  <si>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</si>
  <si>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</si>
  <si>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</si>
  <si>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</si>
  <si>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</si>
  <si>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</si>
  <si>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</si>
  <si>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</si>
  <si>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</si>
  <si>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</si>
  <si>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Landaff School District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</si>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</sst>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4">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2" fontId="8" fillId="0" borderId="0" xfId="0" applyNumberFormat="1" applyFont="1" applyProtection="1">
      <protection locked="0"/>
    </xf>
    <xf numFmtId="2" fontId="6" fillId="0" borderId="0" xfId="0" applyNumberFormat="1" applyFont="1" applyProtection="1">
      <protection locked="0"/>
    </xf>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0" fontId="1" fillId="41" borderId="0" xfId="43" applyFont="1" applyFill="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3" fillId="0" borderId="0" xfId="0" applyNumberFormat="1" applyFont="1" applyAlignment="1" applyProtection="1">
      <alignment horizontal="center"/>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3"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291</v>
      </c>
      <c r="C2" s="21">
        <v>291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109379.06</v>
      </c>
      <c r="G9" s="18"/>
      <c r="H9" s="18"/>
      <c r="I9" s="18"/>
      <c r="J9" s="67">
        <f>SUM(I440)</f>
        <v>311966.25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11815.01</v>
      </c>
      <c r="G12" s="18"/>
      <c r="H12" s="18">
        <v>11986.78</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t="s">
        <v>286</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350</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121544.06999999999</v>
      </c>
      <c r="G19" s="41">
        <f>SUM(G9:G18)</f>
        <v>0</v>
      </c>
      <c r="H19" s="41">
        <f>SUM(H9:H18)</f>
        <v>11986.78</v>
      </c>
      <c r="I19" s="41">
        <f>SUM(I9:I18)</f>
        <v>0</v>
      </c>
      <c r="J19" s="41">
        <f>SUM(J9:J18)</f>
        <v>311966.25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t="s">
        <v>286</v>
      </c>
      <c r="G22" s="18"/>
      <c r="H22" s="18">
        <v>11815.01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9518.33</v>
      </c>
      <c r="G25" s="145"/>
      <c r="H25" s="18">
        <v>171.77</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9518.33</v>
      </c>
      <c r="G32" s="41">
        <f>SUM(G22:G31)</f>
        <v>0</v>
      </c>
      <c r="H32" s="41">
        <f>SUM(H22:H31)</f>
        <v>11986.78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t="s">
        <v>286</v>
      </c>
      <c r="I43" s="18"/>
      <c r="J43" s="13">
        <f>SUM(I457)</f>
        <v>311966.25</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t="s">
        <v>286</v>
      </c>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112025.74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112025.74</v>
      </c>
      <c r="G51" s="41">
        <f>SUM(G35:G50)</f>
        <v>0</v>
      </c>
      <c r="H51" s="41">
        <f>SUM(H35:H50)</f>
        <v>0</v>
      </c>
      <c r="I51" s="41">
        <f>SUM(I35:I50)</f>
        <v>0</v>
      </c>
      <c r="J51" s="41">
        <f>SUM(J35:J50)</f>
        <v>311966.25</v>
      </c>
      <c r="K51" s="45" t="s">
        <v>288</v>
      </c>
      <c r="L51" s="45" t="s">
        <v>288</v>
      </c>
      <c r="N51" s="264"/>
    </row>
    <row r="52" spans="1:14" s="3" customFormat="1" ht="12.2" customHeight="1" thickTop="1" x14ac:dyDescent="0.15">
      <c r="A52" s="38" t="s">
        <v>455</v>
      </c>
      <c r="B52" s="39" t="s">
        <v>289</v>
      </c>
      <c r="C52" s="6">
        <v>37</v>
      </c>
      <c r="D52" s="39" t="s">
        <v>653</v>
      </c>
      <c r="E52" s="39"/>
      <c r="F52" s="41">
        <f>F51+F32</f>
        <v>121544.07</v>
      </c>
      <c r="G52" s="41">
        <f>G51+G32</f>
        <v>0</v>
      </c>
      <c r="H52" s="41">
        <f>H51+H32</f>
        <v>11986.78</v>
      </c>
      <c r="I52" s="41">
        <f>I51+I32</f>
        <v>0</v>
      </c>
      <c r="J52" s="41">
        <f>J51+J32</f>
        <v>311966.25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648474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648474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12475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5934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3125</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21534</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149.25+6</f>
        <v>155.25</v>
      </c>
      <c r="G96" s="18"/>
      <c r="H96" s="18"/>
      <c r="I96" s="18"/>
      <c r="J96" s="18">
        <v>872.3</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2443.9899999999998</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2392.32+134.7</f>
        <v>2527.02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5126.26</v>
      </c>
      <c r="G111" s="41">
        <f>SUM(G96:G110)</f>
        <v>0</v>
      </c>
      <c r="H111" s="41">
        <f>SUM(H96:H110)</f>
        <v>100</v>
      </c>
      <c r="I111" s="41">
        <f>SUM(I96:I110)</f>
        <v>0</v>
      </c>
      <c r="J111" s="41">
        <f>SUM(J96:J110)</f>
        <v>872.3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675134.26</v>
      </c>
      <c r="G112" s="41">
        <f>G60+G111</f>
        <v>0</v>
      </c>
      <c r="H112" s="41">
        <f>H60+H79+H94+H111</f>
        <v>100</v>
      </c>
      <c r="I112" s="41">
        <f>I60+I111</f>
        <v>0</v>
      </c>
      <c r="J112" s="41">
        <f>J60+J111</f>
        <v>872.3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206194.97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96282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302476.96999999997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302476.96999999997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186.09</f>
        <v>186.09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17030+6388.04+343.23+119.98+6338.23+1892.21</f>
        <v>32111.69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3965+67.67+2376.46+1303.58</f>
        <v>7712.71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1514.14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9800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v>0</v>
      </c>
      <c r="G162" s="18">
        <v>0</v>
      </c>
      <c r="H162" s="18">
        <v>269.69</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1514.14</v>
      </c>
      <c r="G163" s="41">
        <f>SUM(G150:G162)</f>
        <v>0</v>
      </c>
      <c r="H163" s="41">
        <f>SUM(H150:H162)</f>
        <v>50080.18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2032.86</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3547</v>
      </c>
      <c r="G170" s="41">
        <f>G147+G163+SUM(G164:G169)</f>
        <v>0</v>
      </c>
      <c r="H170" s="41">
        <f>H147+H163+SUM(H164:H169)</f>
        <v>50080.18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132500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132500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132500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981158.23</v>
      </c>
      <c r="G194" s="47">
        <f>G112+G140+G170+G193</f>
        <v>0</v>
      </c>
      <c r="H194" s="47">
        <f>H112+H140+H170+H193</f>
        <v>50180.18</v>
      </c>
      <c r="I194" s="47">
        <f>I112+I140+I170+I193</f>
        <v>0</v>
      </c>
      <c r="J194" s="47">
        <f>J112+J140+J193</f>
        <v>133372.29999999999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108482.23</v>
      </c>
      <c r="G198" s="18">
        <v>19661.13</v>
      </c>
      <c r="H198" s="18">
        <v>194640.9</v>
      </c>
      <c r="I198" s="18">
        <f>2843.67+500</f>
        <v>3343.67</v>
      </c>
      <c r="J198" s="18">
        <v>189.99</v>
      </c>
      <c r="K198" s="18">
        <v>0</v>
      </c>
      <c r="L198" s="19">
        <f>SUM(F198:K198)</f>
        <v>326317.92</v>
      </c>
      <c r="M198" s="8"/>
      <c r="N198" s="266"/>
    </row>
    <row r="199" spans="1:14" s="3" customFormat="1" ht="12.2" customHeight="1" x14ac:dyDescent="0.15">
      <c r="A199" s="1" t="s">
        <v>439</v>
      </c>
      <c r="B199" s="2" t="s">
        <v>341</v>
      </c>
      <c r="C199" s="2" t="s">
        <v>291</v>
      </c>
      <c r="D199" s="2" t="s">
        <v>431</v>
      </c>
      <c r="E199" s="6">
        <v>1200</v>
      </c>
      <c r="F199" s="18">
        <v>13829.44</v>
      </c>
      <c r="G199" s="18">
        <v>5694.26</v>
      </c>
      <c r="H199" s="18">
        <v>63500.1</v>
      </c>
      <c r="I199" s="18">
        <v>461.93</v>
      </c>
      <c r="J199" s="18">
        <v>0</v>
      </c>
      <c r="K199" s="18">
        <v>0</v>
      </c>
      <c r="L199" s="19">
        <f>SUM(F199:K199)</f>
        <v>83485.73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1042.07+1997.67</f>
        <v>3039.74</v>
      </c>
      <c r="G203" s="18">
        <f>513.51+82.67</f>
        <v>596.17999999999995</v>
      </c>
      <c r="H203" s="18">
        <f>600+30920.03</f>
        <v>31520.03</v>
      </c>
      <c r="I203" s="18">
        <v>49.5</v>
      </c>
      <c r="J203" s="18">
        <v>0</v>
      </c>
      <c r="K203" s="18">
        <v>0</v>
      </c>
      <c r="L203" s="19">
        <f t="shared" ref="L203:L209" si="0">SUM(F203:K203)</f>
        <v>35205.449999999997</v>
      </c>
      <c r="M203" s="8"/>
      <c r="N203" s="266"/>
    </row>
    <row r="204" spans="1:14" s="3" customFormat="1" ht="12.2" customHeight="1" x14ac:dyDescent="0.15">
      <c r="A204" s="1" t="s">
        <v>443</v>
      </c>
      <c r="B204" s="2" t="s">
        <v>341</v>
      </c>
      <c r="C204" s="2" t="s">
        <v>295</v>
      </c>
      <c r="D204" s="2" t="s">
        <v>431</v>
      </c>
      <c r="E204" s="6">
        <v>2200</v>
      </c>
      <c r="F204" s="18"/>
      <c r="G204" s="18"/>
      <c r="H204" s="18">
        <v>168.78</v>
      </c>
      <c r="I204" s="18"/>
      <c r="J204" s="18"/>
      <c r="K204" s="18"/>
      <c r="L204" s="19">
        <f t="shared" si="0"/>
        <v>168.78</v>
      </c>
      <c r="M204" s="8"/>
      <c r="N204" s="266"/>
    </row>
    <row r="205" spans="1:14" s="3" customFormat="1" ht="12.2" customHeight="1" x14ac:dyDescent="0.15">
      <c r="A205" s="1" t="s">
        <v>444</v>
      </c>
      <c r="B205" s="2" t="s">
        <v>341</v>
      </c>
      <c r="C205" s="2" t="s">
        <v>296</v>
      </c>
      <c r="D205" s="2" t="s">
        <v>431</v>
      </c>
      <c r="E205" s="6">
        <v>2300</v>
      </c>
      <c r="F205" s="18">
        <v>1855</v>
      </c>
      <c r="G205" s="18">
        <v>141.91</v>
      </c>
      <c r="H205" s="18">
        <v>49717.73</v>
      </c>
      <c r="I205" s="18"/>
      <c r="J205" s="18"/>
      <c r="K205" s="18"/>
      <c r="L205" s="19">
        <f t="shared" si="0"/>
        <v>51714.640000000007</v>
      </c>
      <c r="M205" s="8"/>
      <c r="N205" s="266"/>
    </row>
    <row r="206" spans="1:14" s="3" customFormat="1" ht="12.2" customHeight="1" x14ac:dyDescent="0.15">
      <c r="A206" s="1" t="s">
        <v>445</v>
      </c>
      <c r="B206" s="2" t="s">
        <v>341</v>
      </c>
      <c r="C206" s="2" t="s">
        <v>297</v>
      </c>
      <c r="D206" s="2" t="s">
        <v>431</v>
      </c>
      <c r="E206" s="6">
        <v>2400</v>
      </c>
      <c r="F206" s="18" t="s">
        <v>286</v>
      </c>
      <c r="G206" s="18"/>
      <c r="H206" s="18">
        <v>591.45000000000005</v>
      </c>
      <c r="I206" s="18"/>
      <c r="J206" s="18"/>
      <c r="K206" s="18"/>
      <c r="L206" s="19">
        <f t="shared" si="0"/>
        <v>591.45000000000005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v>44.16</v>
      </c>
      <c r="H208" s="18">
        <v>39541.4</v>
      </c>
      <c r="I208" s="18">
        <v>11332.3</v>
      </c>
      <c r="J208" s="18">
        <v>1797.99</v>
      </c>
      <c r="K208" s="18">
        <v>0</v>
      </c>
      <c r="L208" s="19">
        <f t="shared" si="0"/>
        <v>52715.85</v>
      </c>
      <c r="M208" s="8"/>
      <c r="N208" s="266"/>
    </row>
    <row r="209" spans="1:14" s="3" customFormat="1" ht="12.2" customHeight="1" x14ac:dyDescent="0.15">
      <c r="A209" s="1" t="s">
        <v>448</v>
      </c>
      <c r="B209" s="2" t="s">
        <v>341</v>
      </c>
      <c r="C209" s="2" t="s">
        <v>300</v>
      </c>
      <c r="D209" s="2" t="s">
        <v>431</v>
      </c>
      <c r="E209" s="6">
        <v>2700</v>
      </c>
      <c r="F209" s="18"/>
      <c r="G209" s="18"/>
      <c r="H209" s="18">
        <v>44347.78</v>
      </c>
      <c r="I209" s="18"/>
      <c r="J209" s="18"/>
      <c r="K209" s="18"/>
      <c r="L209" s="19">
        <f t="shared" si="0"/>
        <v>44347.78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127206.41</v>
      </c>
      <c r="G212" s="41">
        <f t="shared" si="1"/>
        <v>26137.64</v>
      </c>
      <c r="H212" s="41">
        <f t="shared" si="1"/>
        <v>424028.17000000004</v>
      </c>
      <c r="I212" s="41">
        <f t="shared" si="1"/>
        <v>15187.4</v>
      </c>
      <c r="J212" s="41">
        <f t="shared" si="1"/>
        <v>1987.98</v>
      </c>
      <c r="K212" s="41">
        <f t="shared" si="1"/>
        <v>0</v>
      </c>
      <c r="L212" s="41">
        <f t="shared" si="1"/>
        <v>594547.60000000009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155407</v>
      </c>
      <c r="I216" s="18"/>
      <c r="J216" s="18"/>
      <c r="K216" s="18"/>
      <c r="L216" s="19">
        <f>SUM(F216:K216)</f>
        <v>155407</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v>6072.71</v>
      </c>
      <c r="I221" s="18"/>
      <c r="J221" s="18"/>
      <c r="K221" s="18"/>
      <c r="L221" s="19">
        <f t="shared" ref="L221:L227" si="2">SUM(F221:K221)</f>
        <v>6072.71</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161479.71</v>
      </c>
      <c r="I230" s="41">
        <f>SUM(I216:I229)</f>
        <v>0</v>
      </c>
      <c r="J230" s="41">
        <f>SUM(J216:J229)</f>
        <v>0</v>
      </c>
      <c r="K230" s="41">
        <f t="shared" si="3"/>
        <v>0</v>
      </c>
      <c r="L230" s="41">
        <f t="shared" si="3"/>
        <v>161479.71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236166.21</v>
      </c>
      <c r="I234" s="18"/>
      <c r="J234" s="18"/>
      <c r="K234" s="18"/>
      <c r="L234" s="19">
        <f>SUM(F234:K234)</f>
        <v>236166.21</v>
      </c>
      <c r="M234" s="8"/>
      <c r="N234" s="266"/>
    </row>
    <row r="235" spans="1:14" s="3" customFormat="1" ht="12.2" customHeight="1" x14ac:dyDescent="0.15">
      <c r="A235" s="1" t="s">
        <v>439</v>
      </c>
      <c r="B235" s="2" t="s">
        <v>350</v>
      </c>
      <c r="C235" s="2" t="s">
        <v>291</v>
      </c>
      <c r="D235" s="2" t="s">
        <v>431</v>
      </c>
      <c r="E235" s="6">
        <v>1200</v>
      </c>
      <c r="F235" s="18"/>
      <c r="G235" s="18"/>
      <c r="H235" s="18">
        <v>45757.87</v>
      </c>
      <c r="I235" s="18"/>
      <c r="J235" s="18"/>
      <c r="K235" s="18"/>
      <c r="L235" s="19">
        <f>SUM(F235:K235)</f>
        <v>45757.87</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5391.44</v>
      </c>
      <c r="I239" s="18"/>
      <c r="J239" s="18"/>
      <c r="K239" s="18"/>
      <c r="L239" s="19">
        <f t="shared" ref="L239:L245" si="4">SUM(F239:K239)</f>
        <v>5391.44</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287315.52</v>
      </c>
      <c r="I248" s="41">
        <f t="shared" si="5"/>
        <v>0</v>
      </c>
      <c r="J248" s="41">
        <f t="shared" si="5"/>
        <v>0</v>
      </c>
      <c r="K248" s="41">
        <f t="shared" si="5"/>
        <v>0</v>
      </c>
      <c r="L248" s="41">
        <f t="shared" si="5"/>
        <v>287315.52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v>8318.0400000000009</v>
      </c>
      <c r="G254" s="18">
        <f>999.8+627.24</f>
        <v>1627.04</v>
      </c>
      <c r="H254" s="18"/>
      <c r="I254" s="18">
        <v>1845.63</v>
      </c>
      <c r="J254" s="18"/>
      <c r="K254" s="18"/>
      <c r="L254" s="19">
        <f t="shared" si="6"/>
        <v>11790.710000000003</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8318.0400000000009</v>
      </c>
      <c r="G257" s="41">
        <f t="shared" si="7"/>
        <v>1627.04</v>
      </c>
      <c r="H257" s="41">
        <f t="shared" si="7"/>
        <v>0</v>
      </c>
      <c r="I257" s="41">
        <f t="shared" si="7"/>
        <v>1845.63</v>
      </c>
      <c r="J257" s="41">
        <f t="shared" si="7"/>
        <v>0</v>
      </c>
      <c r="K257" s="41">
        <f t="shared" si="7"/>
        <v>0</v>
      </c>
      <c r="L257" s="41">
        <f>SUM(F257:K257)</f>
        <v>11790.710000000003</v>
      </c>
      <c r="M257" s="8"/>
      <c r="N257" s="266"/>
    </row>
    <row r="258" spans="1:14" s="3" customFormat="1" ht="12.2" customHeight="1" thickTop="1" x14ac:dyDescent="0.15">
      <c r="A258" s="38" t="s">
        <v>462</v>
      </c>
      <c r="B258" s="40">
        <v>10</v>
      </c>
      <c r="C258" s="40">
        <v>8</v>
      </c>
      <c r="D258" s="39" t="s">
        <v>431</v>
      </c>
      <c r="E258" s="40"/>
      <c r="F258" s="41">
        <f t="shared" ref="F258:L258" si="8">F212+F230+F248+F257</f>
        <v>135524.45000000001</v>
      </c>
      <c r="G258" s="41">
        <f t="shared" si="8"/>
        <v>27764.68</v>
      </c>
      <c r="H258" s="41">
        <f t="shared" si="8"/>
        <v>872823.4</v>
      </c>
      <c r="I258" s="41">
        <f t="shared" si="8"/>
        <v>17033.03</v>
      </c>
      <c r="J258" s="41">
        <f t="shared" si="8"/>
        <v>1987.98</v>
      </c>
      <c r="K258" s="41">
        <f t="shared" si="8"/>
        <v>0</v>
      </c>
      <c r="L258" s="41">
        <f t="shared" si="8"/>
        <v>1055133.54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132500</v>
      </c>
      <c r="L267" s="19">
        <f t="shared" si="9"/>
        <v>132500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132500</v>
      </c>
      <c r="L271" s="41">
        <f t="shared" si="9"/>
        <v>132500</v>
      </c>
      <c r="M271" s="8"/>
      <c r="N271" s="266"/>
    </row>
    <row r="272" spans="1:14" s="34" customFormat="1" ht="12.2" customHeight="1" thickTop="1" x14ac:dyDescent="0.2">
      <c r="A272" s="43" t="s">
        <v>464</v>
      </c>
      <c r="B272" s="40">
        <v>10</v>
      </c>
      <c r="C272" s="40">
        <v>18</v>
      </c>
      <c r="D272" s="39" t="s">
        <v>431</v>
      </c>
      <c r="E272" s="40"/>
      <c r="F272" s="42">
        <f t="shared" ref="F272:L272" si="11">F258+F271</f>
        <v>135524.45000000001</v>
      </c>
      <c r="G272" s="42">
        <f t="shared" si="11"/>
        <v>27764.68</v>
      </c>
      <c r="H272" s="42">
        <f t="shared" si="11"/>
        <v>872823.4</v>
      </c>
      <c r="I272" s="42">
        <f t="shared" si="11"/>
        <v>17033.03</v>
      </c>
      <c r="J272" s="42">
        <f t="shared" si="11"/>
        <v>1987.98</v>
      </c>
      <c r="K272" s="42">
        <f t="shared" si="11"/>
        <v>132500</v>
      </c>
      <c r="L272" s="42">
        <f t="shared" si="11"/>
        <v>1187633.54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4503.09</v>
      </c>
      <c r="G277" s="18">
        <v>720.4</v>
      </c>
      <c r="H277" s="18">
        <v>5233</v>
      </c>
      <c r="I277" s="18">
        <f>13210.87+100</f>
        <v>13310.87</v>
      </c>
      <c r="J277" s="18">
        <v>250</v>
      </c>
      <c r="K277" s="18"/>
      <c r="L277" s="19">
        <f>SUM(F277:K277)</f>
        <v>24017.360000000001</v>
      </c>
      <c r="M277" s="8"/>
      <c r="N277" s="266"/>
    </row>
    <row r="278" spans="1:14" s="3" customFormat="1" ht="12.2" customHeight="1" x14ac:dyDescent="0.15">
      <c r="A278" s="1" t="s">
        <v>439</v>
      </c>
      <c r="B278" s="2" t="s">
        <v>357</v>
      </c>
      <c r="C278" s="2" t="s">
        <v>291</v>
      </c>
      <c r="D278" s="2" t="s">
        <v>431</v>
      </c>
      <c r="E278" s="6">
        <v>1200</v>
      </c>
      <c r="F278" s="18">
        <f>3393+1560+5270</f>
        <v>10223</v>
      </c>
      <c r="G278" s="18">
        <f>866+398+403.16+938.07</f>
        <v>2605.23</v>
      </c>
      <c r="H278" s="18"/>
      <c r="I278" s="18">
        <v>3188.77</v>
      </c>
      <c r="J278" s="18">
        <v>1279.94</v>
      </c>
      <c r="K278" s="18"/>
      <c r="L278" s="19">
        <f>SUM(F278:K278)</f>
        <v>17296.939999999999</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30</v>
      </c>
      <c r="I282" s="18">
        <v>265.45</v>
      </c>
      <c r="J282" s="18"/>
      <c r="K282" s="18"/>
      <c r="L282" s="19">
        <f t="shared" ref="L282:L288" si="12">SUM(F282:K282)</f>
        <v>295.45</v>
      </c>
      <c r="M282" s="8"/>
      <c r="N282" s="266"/>
    </row>
    <row r="283" spans="1:14" s="3" customFormat="1" ht="12.2" customHeight="1" x14ac:dyDescent="0.15">
      <c r="A283" s="1" t="s">
        <v>443</v>
      </c>
      <c r="B283" s="2" t="s">
        <v>357</v>
      </c>
      <c r="C283" s="2" t="s">
        <v>295</v>
      </c>
      <c r="D283" s="2" t="s">
        <v>431</v>
      </c>
      <c r="E283" s="6">
        <v>2200</v>
      </c>
      <c r="F283" s="18">
        <v>1089</v>
      </c>
      <c r="G283" s="18">
        <v>277.14999999999998</v>
      </c>
      <c r="H283" s="18">
        <v>575</v>
      </c>
      <c r="I283" s="18"/>
      <c r="J283" s="18"/>
      <c r="K283" s="18"/>
      <c r="L283" s="19">
        <f t="shared" si="12"/>
        <v>1941.15</v>
      </c>
      <c r="M283" s="8"/>
      <c r="N283" s="266"/>
    </row>
    <row r="284" spans="1:14" s="3" customFormat="1" ht="12.2" customHeight="1" x14ac:dyDescent="0.15">
      <c r="A284" s="1" t="s">
        <v>444</v>
      </c>
      <c r="B284" s="2" t="s">
        <v>357</v>
      </c>
      <c r="C284" s="2" t="s">
        <v>296</v>
      </c>
      <c r="D284" s="2" t="s">
        <v>431</v>
      </c>
      <c r="E284" s="6">
        <v>2300</v>
      </c>
      <c r="F284" s="18">
        <v>49.57</v>
      </c>
      <c r="G284" s="18">
        <v>21.79</v>
      </c>
      <c r="H284" s="18">
        <v>6177</v>
      </c>
      <c r="I284" s="18"/>
      <c r="J284" s="18"/>
      <c r="K284" s="18">
        <v>380.92</v>
      </c>
      <c r="L284" s="19">
        <f t="shared" si="12"/>
        <v>6629.28</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15864.66</v>
      </c>
      <c r="G291" s="42">
        <f t="shared" si="13"/>
        <v>3624.57</v>
      </c>
      <c r="H291" s="42">
        <f t="shared" si="13"/>
        <v>12015</v>
      </c>
      <c r="I291" s="42">
        <f t="shared" si="13"/>
        <v>16765.09</v>
      </c>
      <c r="J291" s="42">
        <f t="shared" si="13"/>
        <v>1529.94</v>
      </c>
      <c r="K291" s="42">
        <f t="shared" si="13"/>
        <v>380.92</v>
      </c>
      <c r="L291" s="41">
        <f t="shared" si="13"/>
        <v>50180.18</v>
      </c>
      <c r="M291" s="8" t="s">
        <v>286</v>
      </c>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t="s">
        <v>286</v>
      </c>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t="s">
        <v>286</v>
      </c>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15864.66</v>
      </c>
      <c r="G339" s="41">
        <f t="shared" si="20"/>
        <v>3624.57</v>
      </c>
      <c r="H339" s="41">
        <f t="shared" si="20"/>
        <v>12015</v>
      </c>
      <c r="I339" s="41">
        <f t="shared" si="20"/>
        <v>16765.09</v>
      </c>
      <c r="J339" s="41">
        <f t="shared" si="20"/>
        <v>1529.94</v>
      </c>
      <c r="K339" s="41">
        <f t="shared" si="20"/>
        <v>380.92</v>
      </c>
      <c r="L339" s="41">
        <f t="shared" si="20"/>
        <v>50180.18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15864.66</v>
      </c>
      <c r="G353" s="41">
        <f>G339</f>
        <v>3624.57</v>
      </c>
      <c r="H353" s="41">
        <f>H339</f>
        <v>12015</v>
      </c>
      <c r="I353" s="41">
        <f>I339</f>
        <v>16765.09</v>
      </c>
      <c r="J353" s="41">
        <f>J339</f>
        <v>1529.94</v>
      </c>
      <c r="K353" s="47">
        <f>K339+K352</f>
        <v>380.92</v>
      </c>
      <c r="L353" s="41">
        <f>L339+L352</f>
        <v>50180.18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729.13</v>
      </c>
      <c r="I397" s="18"/>
      <c r="J397" s="24" t="s">
        <v>288</v>
      </c>
      <c r="K397" s="24" t="s">
        <v>288</v>
      </c>
      <c r="L397" s="56">
        <f t="shared" si="26"/>
        <v>10729.13</v>
      </c>
      <c r="M397" s="8"/>
      <c r="N397" s="266"/>
    </row>
    <row r="398" spans="1:14" s="3" customFormat="1" ht="12.2" customHeight="1" x14ac:dyDescent="0.15">
      <c r="A398" s="79" t="s">
        <v>515</v>
      </c>
      <c r="B398" s="2" t="s">
        <v>381</v>
      </c>
      <c r="C398" s="6">
        <v>10</v>
      </c>
      <c r="D398" s="2" t="s">
        <v>432</v>
      </c>
      <c r="E398" s="6"/>
      <c r="F398" s="18"/>
      <c r="G398" s="18">
        <v>70000</v>
      </c>
      <c r="H398" s="18">
        <v>125.98</v>
      </c>
      <c r="I398" s="18"/>
      <c r="J398" s="24" t="s">
        <v>288</v>
      </c>
      <c r="K398" s="24" t="s">
        <v>288</v>
      </c>
      <c r="L398" s="56">
        <f t="shared" si="26"/>
        <v>70125.98</v>
      </c>
      <c r="M398" s="8"/>
      <c r="N398" s="266"/>
    </row>
    <row r="399" spans="1:14" s="3" customFormat="1" ht="12.2" customHeight="1" x14ac:dyDescent="0.15">
      <c r="A399" s="79" t="s">
        <v>558</v>
      </c>
      <c r="B399" s="2" t="s">
        <v>381</v>
      </c>
      <c r="C399" s="6">
        <v>11</v>
      </c>
      <c r="D399" s="2" t="s">
        <v>432</v>
      </c>
      <c r="E399" s="6"/>
      <c r="F399" s="18"/>
      <c r="G399" s="18">
        <v>50000</v>
      </c>
      <c r="H399" s="18">
        <v>15.24</v>
      </c>
      <c r="I399" s="18"/>
      <c r="J399" s="24" t="s">
        <v>288</v>
      </c>
      <c r="K399" s="24" t="s">
        <v>288</v>
      </c>
      <c r="L399" s="56">
        <f t="shared" si="26"/>
        <v>50015.24</v>
      </c>
      <c r="M399" s="8"/>
      <c r="N399" s="266"/>
    </row>
    <row r="400" spans="1:14" s="3" customFormat="1" ht="12.2" customHeight="1" x14ac:dyDescent="0.15">
      <c r="A400" s="79" t="s">
        <v>559</v>
      </c>
      <c r="B400" s="2" t="s">
        <v>381</v>
      </c>
      <c r="C400" s="6">
        <v>12</v>
      </c>
      <c r="D400" s="2" t="s">
        <v>432</v>
      </c>
      <c r="E400" s="6"/>
      <c r="F400" s="18"/>
      <c r="G400" s="18">
        <v>2500</v>
      </c>
      <c r="H400" s="18">
        <v>1.95</v>
      </c>
      <c r="I400" s="18"/>
      <c r="J400" s="24" t="s">
        <v>288</v>
      </c>
      <c r="K400" s="24" t="s">
        <v>288</v>
      </c>
      <c r="L400" s="56">
        <f t="shared" si="26"/>
        <v>2501.9499999999998</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132500</v>
      </c>
      <c r="H402" s="47">
        <f>SUM(H396:H401)</f>
        <v>872.30000000000007</v>
      </c>
      <c r="I402" s="47">
        <f>SUM(I396:I401)</f>
        <v>0</v>
      </c>
      <c r="J402" s="45" t="s">
        <v>288</v>
      </c>
      <c r="K402" s="45" t="s">
        <v>288</v>
      </c>
      <c r="L402" s="47">
        <f>SUM(L396:L401)</f>
        <v>133372.30000000002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132500</v>
      </c>
      <c r="H409" s="47">
        <f>H394+H402+H408</f>
        <v>872.30000000000007</v>
      </c>
      <c r="I409" s="47">
        <f>I394+I402+I408</f>
        <v>0</v>
      </c>
      <c r="J409" s="24" t="s">
        <v>288</v>
      </c>
      <c r="K409" s="24" t="s">
        <v>288</v>
      </c>
      <c r="L409" s="47">
        <f>L394+L402+L408</f>
        <v>133372.30000000002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311966.25</v>
      </c>
      <c r="H440" s="18"/>
      <c r="I440" s="56">
        <f t="shared" ref="I440:I446" si="33">SUM(F440:H440)</f>
        <v>311966.25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t="s">
        <v>286</v>
      </c>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311966.25</v>
      </c>
      <c r="H447" s="13">
        <f>SUM(H440:H446)</f>
        <v>0</v>
      </c>
      <c r="I447" s="13">
        <f>SUM(I440:I446)</f>
        <v>311966.25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311966.25</v>
      </c>
      <c r="H457" s="18"/>
      <c r="I457" s="56">
        <f t="shared" si="34"/>
        <v>311966.25</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311966.25</v>
      </c>
      <c r="H461" s="83">
        <f>SUM(H455:H460)</f>
        <v>0</v>
      </c>
      <c r="I461" s="83">
        <f>SUM(I455:I460)</f>
        <v>311966.25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311966.25</v>
      </c>
      <c r="H462" s="42">
        <f>H453+H461</f>
        <v>0</v>
      </c>
      <c r="I462" s="42">
        <f>I453+I461</f>
        <v>311966.25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318501.05</v>
      </c>
      <c r="G466" s="18"/>
      <c r="H466" s="18"/>
      <c r="I466" s="18"/>
      <c r="J466" s="18">
        <v>178593.95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981158.23</v>
      </c>
      <c r="G469" s="18"/>
      <c r="H469" s="18">
        <v>50180.18</v>
      </c>
      <c r="I469" s="18"/>
      <c r="J469" s="18">
        <v>133372.29999999999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t="s">
        <v>286</v>
      </c>
      <c r="K470" s="24" t="s">
        <v>288</v>
      </c>
      <c r="L470" s="24" t="s">
        <v>288</v>
      </c>
      <c r="N470" s="265"/>
    </row>
    <row r="471" spans="1:14" s="52" customFormat="1" ht="12.2" customHeight="1" x14ac:dyDescent="0.2">
      <c r="A471" s="92" t="s">
        <v>425</v>
      </c>
      <c r="B471" s="75">
        <v>19</v>
      </c>
      <c r="C471" s="80">
        <v>4</v>
      </c>
      <c r="D471" s="2" t="s">
        <v>432</v>
      </c>
      <c r="E471" s="80"/>
      <c r="F471" s="53">
        <f>SUM(F469:F470)</f>
        <v>981158.23</v>
      </c>
      <c r="G471" s="53">
        <f>SUM(G469:G470)</f>
        <v>0</v>
      </c>
      <c r="H471" s="53">
        <f>SUM(H469:H470)</f>
        <v>50180.18</v>
      </c>
      <c r="I471" s="53">
        <f>SUM(I469:I470)</f>
        <v>0</v>
      </c>
      <c r="J471" s="53">
        <f>SUM(J469:J470)</f>
        <v>133372.29999999999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1187633.54</v>
      </c>
      <c r="G473" s="18"/>
      <c r="H473" s="18">
        <v>50180.18</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1187633.54</v>
      </c>
      <c r="G475" s="53">
        <f>SUM(G473:G474)</f>
        <v>0</v>
      </c>
      <c r="H475" s="53">
        <f>SUM(H473:H474)</f>
        <v>50180.18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112025.73999999999</v>
      </c>
      <c r="G477" s="53">
        <f>(G466+G471)- G475</f>
        <v>0</v>
      </c>
      <c r="H477" s="53">
        <f>(H466+H471)- H475</f>
        <v>0</v>
      </c>
      <c r="I477" s="53">
        <f>(I466+I471)- I475</f>
        <v>0</v>
      </c>
      <c r="J477" s="53">
        <f>(J466+J471)- J475</f>
        <v>311966.25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24424.1</v>
      </c>
      <c r="G522" s="18">
        <v>6958.28</v>
      </c>
      <c r="H522" s="18">
        <v>109257.97</v>
      </c>
      <c r="I522" s="18">
        <v>461.93</v>
      </c>
      <c r="J522" s="18"/>
      <c r="K522" s="18"/>
      <c r="L522" s="88">
        <f>SUM(F522:K522)</f>
        <v>141102.28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24424.1</v>
      </c>
      <c r="G525" s="108">
        <f t="shared" ref="G525:L525" si="36">SUM(G522:G524)</f>
        <v>6958.28</v>
      </c>
      <c r="H525" s="108">
        <f t="shared" si="36"/>
        <v>109257.97</v>
      </c>
      <c r="I525" s="108">
        <f t="shared" si="36"/>
        <v>461.93</v>
      </c>
      <c r="J525" s="108">
        <f t="shared" si="36"/>
        <v>0</v>
      </c>
      <c r="K525" s="108">
        <f t="shared" si="36"/>
        <v>0</v>
      </c>
      <c r="L525" s="89">
        <f t="shared" si="36"/>
        <v>141102.28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42984.38</v>
      </c>
      <c r="I527" s="18"/>
      <c r="J527" s="18"/>
      <c r="K527" s="18"/>
      <c r="L527" s="88">
        <f>SUM(F527:K527)</f>
        <v>42984.38</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42984.38</v>
      </c>
      <c r="I530" s="89">
        <f t="shared" si="37"/>
        <v>0</v>
      </c>
      <c r="J530" s="89">
        <f t="shared" si="37"/>
        <v>0</v>
      </c>
      <c r="K530" s="89">
        <f t="shared" si="37"/>
        <v>0</v>
      </c>
      <c r="L530" s="89">
        <f t="shared" si="37"/>
        <v>42984.38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3990</v>
      </c>
      <c r="I542" s="18"/>
      <c r="J542" s="18"/>
      <c r="K542" s="18"/>
      <c r="L542" s="88">
        <f>SUM(F542:K542)</f>
        <v>3990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3990</v>
      </c>
      <c r="I545" s="193">
        <f t="shared" si="40"/>
        <v>0</v>
      </c>
      <c r="J545" s="193">
        <f t="shared" si="40"/>
        <v>0</v>
      </c>
      <c r="K545" s="193">
        <f t="shared" si="40"/>
        <v>0</v>
      </c>
      <c r="L545" s="193">
        <f t="shared" si="40"/>
        <v>3990</v>
      </c>
      <c r="M545" s="8"/>
      <c r="N545" s="266"/>
    </row>
    <row r="546" spans="1:14" s="3" customFormat="1" ht="12.2" customHeight="1" thickTop="1" x14ac:dyDescent="0.15">
      <c r="A546" s="98" t="s">
        <v>72</v>
      </c>
      <c r="B546" s="107">
        <v>21</v>
      </c>
      <c r="C546" s="107">
        <v>21</v>
      </c>
      <c r="D546" s="158" t="s">
        <v>432</v>
      </c>
      <c r="E546" s="107"/>
      <c r="F546" s="89">
        <f>F525+F530+F535+F540+F545</f>
        <v>24424.1</v>
      </c>
      <c r="G546" s="89">
        <f t="shared" ref="G546:L546" si="41">G525+G530+G535+G540+G545</f>
        <v>6958.28</v>
      </c>
      <c r="H546" s="89">
        <f t="shared" si="41"/>
        <v>156232.35</v>
      </c>
      <c r="I546" s="89">
        <f t="shared" si="41"/>
        <v>461.93</v>
      </c>
      <c r="J546" s="89">
        <f t="shared" si="41"/>
        <v>0</v>
      </c>
      <c r="K546" s="89">
        <f t="shared" si="41"/>
        <v>0</v>
      </c>
      <c r="L546" s="89">
        <f t="shared" si="41"/>
        <v>188076.66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141102.28</v>
      </c>
      <c r="G550" s="87">
        <f>L527</f>
        <v>42984.38</v>
      </c>
      <c r="H550" s="87">
        <f>L532</f>
        <v>0</v>
      </c>
      <c r="I550" s="87">
        <f>L537</f>
        <v>0</v>
      </c>
      <c r="J550" s="87">
        <f>L542</f>
        <v>3990</v>
      </c>
      <c r="K550" s="87">
        <f>SUM(F550:J550)</f>
        <v>188076.66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141102.28</v>
      </c>
      <c r="G553" s="89">
        <f t="shared" si="42"/>
        <v>42984.38</v>
      </c>
      <c r="H553" s="89">
        <f t="shared" si="42"/>
        <v>0</v>
      </c>
      <c r="I553" s="89">
        <f t="shared" si="42"/>
        <v>0</v>
      </c>
      <c r="J553" s="89">
        <f t="shared" si="42"/>
        <v>3990</v>
      </c>
      <c r="K553" s="89">
        <f t="shared" si="42"/>
        <v>188076.66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184399.83</v>
      </c>
      <c r="G576" s="18">
        <v>139982.20000000001</v>
      </c>
      <c r="H576" s="18">
        <v>220882.64</v>
      </c>
      <c r="I576" s="87">
        <f>SUM(F576:H576)</f>
        <v>545264.67000000004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63500.1</v>
      </c>
      <c r="G580" s="18"/>
      <c r="H580" s="18">
        <v>9065</v>
      </c>
      <c r="I580" s="87">
        <f t="shared" si="47"/>
        <v>72565.100000000006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15244.79</v>
      </c>
      <c r="I583" s="87">
        <f t="shared" si="47"/>
        <v>15244.79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21415.88</v>
      </c>
      <c r="I584" s="87">
        <f t="shared" si="47"/>
        <v>21415.88</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40289.040000000001</v>
      </c>
      <c r="I592" s="18"/>
      <c r="J592" s="18"/>
      <c r="K592" s="104">
        <f t="shared" ref="K592:K598" si="48">SUM(H592:J592)</f>
        <v>40289.040000000001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3990</v>
      </c>
      <c r="I593" s="18"/>
      <c r="J593" s="18"/>
      <c r="K593" s="104">
        <f t="shared" si="48"/>
        <v>3990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68.739999999999995</v>
      </c>
      <c r="I598" s="18"/>
      <c r="J598" s="18"/>
      <c r="K598" s="104">
        <f t="shared" si="48"/>
        <v>68.739999999999995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44347.78</v>
      </c>
      <c r="I599" s="108">
        <f>SUM(I592:I598)</f>
        <v>0</v>
      </c>
      <c r="J599" s="108">
        <f>SUM(J592:J598)</f>
        <v>0</v>
      </c>
      <c r="K599" s="108">
        <f>SUM(K592:K598)</f>
        <v>44347.78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3517.92</v>
      </c>
      <c r="I605" s="18"/>
      <c r="J605" s="18"/>
      <c r="K605" s="104">
        <f>SUM(H605:J605)</f>
        <v>3517.92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3517.92</v>
      </c>
      <c r="I606" s="108">
        <f>SUM(I603:I605)</f>
        <v>0</v>
      </c>
      <c r="J606" s="108">
        <f>SUM(J603:J605)</f>
        <v>0</v>
      </c>
      <c r="K606" s="108">
        <f>SUM(K603:K605)</f>
        <v>3517.92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121544.06999999999</v>
      </c>
      <c r="H618" s="109">
        <f>SUM(F52)</f>
        <v>121544.07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11986.78</v>
      </c>
      <c r="H620" s="109">
        <f>SUM(H52)</f>
        <v>11986.78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311966.25</v>
      </c>
      <c r="H622" s="109">
        <f>SUM(J52)</f>
        <v>311966.25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112025.74</v>
      </c>
      <c r="H623" s="109">
        <f>F477</f>
        <v>112025.73999999999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311966.25</v>
      </c>
      <c r="H627" s="109">
        <f>J477</f>
        <v>311966.25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981158.23</v>
      </c>
      <c r="H628" s="104">
        <f>SUM(F469)</f>
        <v>981158.23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50180.18</v>
      </c>
      <c r="H630" s="104">
        <f>SUM(H469)</f>
        <v>50180.18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133372.29999999999</v>
      </c>
      <c r="H632" s="104">
        <f>SUM(J469)</f>
        <v>133372.29999999999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1187633.54</v>
      </c>
      <c r="H633" s="104">
        <f>SUM(F473)</f>
        <v>1187633.54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50180.18</v>
      </c>
      <c r="H634" s="104">
        <f>SUM(H473)</f>
        <v>50180.18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133372.30000000002</v>
      </c>
      <c r="H638" s="164">
        <f>SUM(J469)</f>
        <v>133372.29999999999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311966.25</v>
      </c>
      <c r="H641" s="104">
        <f>SUM(G462)</f>
        <v>311966.25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311966.25</v>
      </c>
      <c r="H643" s="104">
        <f>SUM(I462)</f>
        <v>311966.25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872.3</v>
      </c>
      <c r="H645" s="104">
        <f>H409</f>
        <v>872.30000000000007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132500</v>
      </c>
      <c r="H646" s="104">
        <f>G409</f>
        <v>132500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133372.29999999999</v>
      </c>
      <c r="H647" s="104">
        <f>L409</f>
        <v>133372.30000000002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44347.78</v>
      </c>
      <c r="H648" s="104">
        <f>L209+L227+L245</f>
        <v>44347.78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3517.92</v>
      </c>
      <c r="H649" s="104">
        <f>(J258+J339)-(J256+J337)</f>
        <v>3517.92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44347.78</v>
      </c>
      <c r="H650" s="104">
        <f>H599</f>
        <v>44347.78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132500</v>
      </c>
      <c r="H656" s="104">
        <f>K267+K348</f>
        <v>132500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644727.78000000014</v>
      </c>
      <c r="G661" s="19">
        <f>(L230+L310+L360)</f>
        <v>161479.71</v>
      </c>
      <c r="H661" s="19">
        <f>(L248+L329+L361)</f>
        <v>287315.52</v>
      </c>
      <c r="I661" s="19">
        <f>SUM(F661:H661)</f>
        <v>1093523.0100000002</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44347.78</v>
      </c>
      <c r="G663" s="19">
        <f>(L227+L307)-(J227+J307)</f>
        <v>0</v>
      </c>
      <c r="H663" s="19">
        <f>(L245+L326)-(J245+J326)</f>
        <v>0</v>
      </c>
      <c r="I663" s="19">
        <f>SUM(F663:H663)</f>
        <v>44347.78</v>
      </c>
      <c r="J663"/>
      <c r="K663" s="13"/>
      <c r="L663" s="13"/>
      <c r="M663" s="9"/>
    </row>
    <row r="664" spans="1:13" s="3" customFormat="1" ht="12.2" customHeight="1" x14ac:dyDescent="0.15">
      <c r="A664" s="198" t="s">
        <v>129</v>
      </c>
      <c r="B664" s="169"/>
      <c r="C664" s="169"/>
      <c r="D664" s="169"/>
      <c r="E664" s="169"/>
      <c r="F664" s="199">
        <f>SUM(F576:F588)+SUM(H603:H605)+SUM(L612)</f>
        <v>251417.85</v>
      </c>
      <c r="G664" s="199">
        <f>SUM(G576:G588)+SUM(I603:I605)+L613</f>
        <v>139982.20000000001</v>
      </c>
      <c r="H664" s="199">
        <f>SUM(H576:H588)+SUM(J603:J605)+L614</f>
        <v>266608.31</v>
      </c>
      <c r="I664" s="19">
        <f>SUM(F664:H664)</f>
        <v>658008.3600000001</v>
      </c>
      <c r="J664" s="13"/>
      <c r="K664" s="13"/>
      <c r="L664" s="13"/>
      <c r="M664" s="9"/>
    </row>
    <row r="665" spans="1:13" s="3" customFormat="1" ht="12.2" customHeight="1" x14ac:dyDescent="0.15">
      <c r="A665" s="1" t="s">
        <v>130</v>
      </c>
      <c r="F665" s="19">
        <f>F661-SUM(F662:F664)</f>
        <v>348962.15000000014</v>
      </c>
      <c r="G665" s="19">
        <f>G661-SUM(G662:G664)</f>
        <v>21497.50999999998</v>
      </c>
      <c r="H665" s="19">
        <f>H661-SUM(H662:H664)</f>
        <v>20707.210000000021</v>
      </c>
      <c r="I665" s="19">
        <f>I661-SUM(I662:I664)</f>
        <v>391166.87000000011</v>
      </c>
      <c r="J665" s="13"/>
      <c r="K665" s="13"/>
      <c r="L665" s="13"/>
      <c r="M665" s="8"/>
    </row>
    <row r="666" spans="1:13" s="3" customFormat="1" ht="12.2" customHeight="1" x14ac:dyDescent="0.2">
      <c r="A666" s="1" t="s">
        <v>131</v>
      </c>
      <c r="F666" s="246">
        <v>14.55</v>
      </c>
      <c r="G666" s="247"/>
      <c r="H666" s="247"/>
      <c r="I666" s="19">
        <f>SUM(F666:H666)</f>
        <v>14.55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23983.65</v>
      </c>
      <c r="G668" s="19" t="e">
        <f>ROUND(G665/G666,2)</f>
        <v>#DIV/0!</v>
      </c>
      <c r="H668" s="19" t="e">
        <f>ROUND(H665/H666,2)</f>
        <v>#DIV/0!</v>
      </c>
      <c r="I668" s="19">
        <f>ROUND(I665/I666,2)</f>
        <v>26884.32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-21497.51</v>
      </c>
      <c r="H670" s="18">
        <v>-20707.21</v>
      </c>
      <c r="I670" s="19">
        <f>SUM(F670:H670)</f>
        <v>-42204.72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23983.65</v>
      </c>
      <c r="G673" s="19" t="e">
        <f>ROUND((G665+G670)/(G666+G671),2)</f>
        <v>#DIV/0!</v>
      </c>
      <c r="H673" s="19" t="e">
        <f>ROUND((H665+H670)/(H666+H671),2)</f>
        <v>#DIV/0!</v>
      </c>
      <c r="I673" s="19">
        <f>ROUND((I665+I670)/(I666+I671),2)</f>
        <v>23983.65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6" zoomScaleNormal="100" workbookViewId="0">
      <selection activeCell="I28" sqref="I28"/>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2" t="s">
        <v>1669</v>
      </c>
      <c r="D2" s="362"/>
      <c r="E2" s="362"/>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'DOE25'!F162+'DOE25'!G162+'DOE25'!H162</f>
        <v>269.69</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9800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61">
        <v>10069.69</v>
      </c>
      <c r="F22" s="348"/>
    </row>
    <row r="23" spans="2:8" x14ac:dyDescent="0.25">
      <c r="B23" s="348"/>
      <c r="C23" s="348"/>
      <c r="D23" s="348"/>
      <c r="E23" s="348"/>
      <c r="F23" s="348"/>
    </row>
    <row r="24" spans="2:8" ht="26.25" customHeight="1" x14ac:dyDescent="0.25">
      <c r="B24" s="348"/>
      <c r="C24" s="350" t="s">
        <v>1661</v>
      </c>
      <c r="D24" s="348"/>
      <c r="E24" s="343">
        <v>9643.6200000000008</v>
      </c>
      <c r="F24" s="348"/>
    </row>
    <row r="25" spans="2:8" ht="18" x14ac:dyDescent="0.25">
      <c r="B25" s="348"/>
      <c r="C25" s="351"/>
      <c r="D25" s="348"/>
      <c r="E25" s="348"/>
      <c r="F25" s="348"/>
    </row>
    <row r="26" spans="2:8" ht="27.75" customHeight="1" x14ac:dyDescent="0.25">
      <c r="B26" s="348"/>
      <c r="C26" s="350" t="s">
        <v>1662</v>
      </c>
      <c r="D26" s="348"/>
      <c r="E26" s="343">
        <v>426.07</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4" t="str">
        <f>'DOE25'!A2</f>
        <v>Landaff School District</v>
      </c>
      <c r="C5" s="365"/>
      <c r="D5" s="365"/>
      <c r="E5" s="365"/>
      <c r="F5" s="365"/>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v>0</v>
      </c>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t="s">
        <v>1673</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3" sqref="B33:C3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Landaff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112985.31999999999</v>
      </c>
      <c r="C9" s="229">
        <f>'DOE25'!G198+'DOE25'!G216+'DOE25'!G234+'DOE25'!G277+'DOE25'!G296+'DOE25'!G315</f>
        <v>20381.530000000002</v>
      </c>
    </row>
    <row r="10" spans="1:3" x14ac:dyDescent="0.2">
      <c r="A10" t="s">
        <v>775</v>
      </c>
      <c r="B10" s="240">
        <v>91139.49</v>
      </c>
      <c r="C10" s="240">
        <v>10985.03</v>
      </c>
    </row>
    <row r="11" spans="1:3" x14ac:dyDescent="0.2">
      <c r="A11" t="s">
        <v>776</v>
      </c>
      <c r="B11" s="240">
        <v>16225.83</v>
      </c>
      <c r="C11" s="240">
        <v>9261.5</v>
      </c>
    </row>
    <row r="12" spans="1:3" x14ac:dyDescent="0.2">
      <c r="A12" t="s">
        <v>777</v>
      </c>
      <c r="B12" s="240">
        <v>5620</v>
      </c>
      <c r="C12" s="240">
        <v>135</v>
      </c>
    </row>
    <row r="13" spans="1:3" x14ac:dyDescent="0.2">
      <c r="A13" t="str">
        <f>IF(B9=B13,IF(C9=C13,"Check Total OK","Check Total Error"),"Check Total Error")</f>
        <v>Check Total OK</v>
      </c>
      <c r="B13" s="231">
        <f>SUM(B10:B12)</f>
        <v>112985.32</v>
      </c>
      <c r="C13" s="231">
        <f>SUM(C10:C12)</f>
        <v>20381.53</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24052.440000000002</v>
      </c>
      <c r="C18" s="229">
        <f>'DOE25'!G199+'DOE25'!G217+'DOE25'!G235+'DOE25'!G278+'DOE25'!G297+'DOE25'!G316</f>
        <v>8299.49</v>
      </c>
    </row>
    <row r="19" spans="1:3" x14ac:dyDescent="0.2">
      <c r="A19" t="s">
        <v>775</v>
      </c>
      <c r="B19" s="240">
        <v>24052.44</v>
      </c>
      <c r="C19" s="240">
        <v>8299.49</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24052.44</v>
      </c>
      <c r="C22" s="231">
        <f>SUM(C19:C21)</f>
        <v>8299.49</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34" sqref="D3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60" t="str">
        <f>'DOE25'!A2</f>
        <v>Landaff School District</v>
      </c>
      <c r="C2" s="277"/>
      <c r="D2" s="181" t="s">
        <v>787</v>
      </c>
      <c r="E2" s="181" t="s">
        <v>789</v>
      </c>
      <c r="F2" s="369" t="s">
        <v>891</v>
      </c>
      <c r="G2" s="370"/>
      <c r="H2" s="370"/>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847134.73</v>
      </c>
      <c r="D5" s="20">
        <f>SUM('DOE25'!L198:L201)+SUM('DOE25'!L216:L219)+SUM('DOE25'!L234:L237)-F5-G5-H5</f>
        <v>846944.74</v>
      </c>
      <c r="E5" s="243"/>
      <c r="F5" s="244"/>
      <c r="G5" s="53">
        <f>SUM('DOE25'!J198:J201)+SUM('DOE25'!J216:J219)+SUM('DOE25'!J234:J237)</f>
        <v>189.99</v>
      </c>
      <c r="H5" s="53">
        <f>SUM('DOE25'!K198:K201)+SUM('DOE25'!K216:K219)+SUM('DOE25'!K234:K237)</f>
        <v>0</v>
      </c>
      <c r="I5" s="256"/>
    </row>
    <row r="6" spans="1:9" x14ac:dyDescent="0.2">
      <c r="A6" s="32">
        <v>2100</v>
      </c>
      <c r="B6" t="s">
        <v>796</v>
      </c>
      <c r="C6" s="275">
        <f t="shared" si="0"/>
        <v>46669.599999999999</v>
      </c>
      <c r="D6" s="20">
        <f>'DOE25'!L203+'DOE25'!L221+'DOE25'!L239-F6-G6-H6</f>
        <v>46669.599999999999</v>
      </c>
      <c r="E6" s="243"/>
      <c r="F6" s="244"/>
      <c r="G6" s="53">
        <f>'DOE25'!J203+'DOE25'!J221+'DOE25'!J239</f>
        <v>0</v>
      </c>
      <c r="H6" s="53">
        <f>'DOE25'!K203+'DOE25'!K221+'DOE25'!K239</f>
        <v>0</v>
      </c>
      <c r="I6" s="256"/>
    </row>
    <row r="7" spans="1:9" x14ac:dyDescent="0.2">
      <c r="A7" s="32">
        <v>2200</v>
      </c>
      <c r="B7" t="s">
        <v>821</v>
      </c>
      <c r="C7" s="275">
        <f t="shared" si="0"/>
        <v>168.78</v>
      </c>
      <c r="D7" s="20">
        <f>'DOE25'!L204+'DOE25'!L222+'DOE25'!L240-F7-G7-H7</f>
        <v>168.78</v>
      </c>
      <c r="E7" s="243"/>
      <c r="F7" s="244"/>
      <c r="G7" s="53">
        <f>'DOE25'!J204+'DOE25'!J222+'DOE25'!J240</f>
        <v>0</v>
      </c>
      <c r="H7" s="53">
        <f>'DOE25'!K204+'DOE25'!K222+'DOE25'!K240</f>
        <v>0</v>
      </c>
      <c r="I7" s="256"/>
    </row>
    <row r="8" spans="1:9" x14ac:dyDescent="0.2">
      <c r="A8" s="32">
        <v>2300</v>
      </c>
      <c r="B8" t="s">
        <v>797</v>
      </c>
      <c r="C8" s="275">
        <f t="shared" si="0"/>
        <v>29607.280000000006</v>
      </c>
      <c r="D8" s="243"/>
      <c r="E8" s="20">
        <f>'DOE25'!L205+'DOE25'!L223+'DOE25'!L241-F8-G8-H8-D9-D11</f>
        <v>29607.280000000006</v>
      </c>
      <c r="F8" s="244"/>
      <c r="G8" s="53">
        <f>'DOE25'!J205+'DOE25'!J223+'DOE25'!J241</f>
        <v>0</v>
      </c>
      <c r="H8" s="53">
        <f>'DOE25'!K205+'DOE25'!K223+'DOE25'!K241</f>
        <v>0</v>
      </c>
      <c r="I8" s="256"/>
    </row>
    <row r="9" spans="1:9" ht="14.25" x14ac:dyDescent="0.2">
      <c r="A9" s="32">
        <v>2310</v>
      </c>
      <c r="B9" s="185" t="s">
        <v>888</v>
      </c>
      <c r="C9" s="275">
        <f t="shared" si="0"/>
        <v>14250.64</v>
      </c>
      <c r="D9" s="244">
        <v>14250.64</v>
      </c>
      <c r="E9" s="243"/>
      <c r="F9" s="253"/>
      <c r="G9" s="253"/>
      <c r="H9" s="253"/>
      <c r="I9" s="256"/>
    </row>
    <row r="10" spans="1:9" ht="14.25" x14ac:dyDescent="0.2">
      <c r="A10" s="32">
        <v>2317</v>
      </c>
      <c r="B10" s="185" t="s">
        <v>889</v>
      </c>
      <c r="C10" s="275">
        <f t="shared" si="0"/>
        <v>6739</v>
      </c>
      <c r="D10" s="243"/>
      <c r="E10" s="244">
        <v>6739</v>
      </c>
      <c r="F10" s="253"/>
      <c r="G10" s="253"/>
      <c r="H10" s="253"/>
      <c r="I10" s="256"/>
    </row>
    <row r="11" spans="1:9" ht="14.25" x14ac:dyDescent="0.2">
      <c r="A11" s="32">
        <v>2321</v>
      </c>
      <c r="B11" s="185" t="s">
        <v>890</v>
      </c>
      <c r="C11" s="275">
        <f t="shared" si="0"/>
        <v>7856.72</v>
      </c>
      <c r="D11" s="244">
        <v>7856.72</v>
      </c>
      <c r="E11" s="243"/>
      <c r="F11" s="253"/>
      <c r="G11" s="253"/>
      <c r="H11" s="253"/>
      <c r="I11" s="256"/>
    </row>
    <row r="12" spans="1:9" x14ac:dyDescent="0.2">
      <c r="A12" s="32">
        <v>2400</v>
      </c>
      <c r="B12" t="s">
        <v>711</v>
      </c>
      <c r="C12" s="275">
        <f t="shared" si="0"/>
        <v>591.45000000000005</v>
      </c>
      <c r="D12" s="20">
        <f>'DOE25'!L206+'DOE25'!L224+'DOE25'!L242-F12-G12-H12</f>
        <v>591.45000000000005</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52715.85</v>
      </c>
      <c r="D14" s="20">
        <f>'DOE25'!L208+'DOE25'!L226+'DOE25'!L244-F14-G14-H14</f>
        <v>50917.86</v>
      </c>
      <c r="E14" s="243"/>
      <c r="F14" s="244"/>
      <c r="G14" s="53">
        <f>'DOE25'!J208+'DOE25'!J226+'DOE25'!J244</f>
        <v>1797.99</v>
      </c>
      <c r="H14" s="53">
        <f>'DOE25'!K208+'DOE25'!K226+'DOE25'!K244</f>
        <v>0</v>
      </c>
      <c r="I14" s="256"/>
    </row>
    <row r="15" spans="1:9" x14ac:dyDescent="0.2">
      <c r="A15" s="32">
        <v>2700</v>
      </c>
      <c r="B15" t="s">
        <v>799</v>
      </c>
      <c r="C15" s="275">
        <f t="shared" si="0"/>
        <v>44347.78</v>
      </c>
      <c r="D15" s="20">
        <f>'DOE25'!L209+'DOE25'!L227+'DOE25'!L245-F15-G15-H15</f>
        <v>29058.78</v>
      </c>
      <c r="E15" s="243"/>
      <c r="F15" s="244">
        <v>15289</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11790.710000000003</v>
      </c>
      <c r="D19" s="20">
        <f>'DOE25'!L254-F19-G19-H19</f>
        <v>11790.710000000003</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50180.18</v>
      </c>
      <c r="D31" s="20">
        <f>'DOE25'!L291+'DOE25'!L310+'DOE25'!L329+'DOE25'!L334+'DOE25'!L335+'DOE25'!L336-F31-G31-H31</f>
        <v>48269.32</v>
      </c>
      <c r="E31" s="243"/>
      <c r="F31" s="244"/>
      <c r="G31" s="53">
        <f>'DOE25'!J291+'DOE25'!J310+'DOE25'!J329+'DOE25'!J334+'DOE25'!J335+'DOE25'!J336</f>
        <v>1529.94</v>
      </c>
      <c r="H31" s="53">
        <f>'DOE25'!K291+'DOE25'!K310+'DOE25'!K329+'DOE25'!K334+'DOE25'!K335+'DOE25'!K336</f>
        <v>380.92</v>
      </c>
      <c r="I31" s="256"/>
    </row>
    <row r="32" spans="1:9" ht="12" thickBot="1" x14ac:dyDescent="0.25">
      <c r="C32" s="276"/>
      <c r="G32" s="251"/>
      <c r="H32" s="251"/>
      <c r="I32" s="258"/>
    </row>
    <row r="33" spans="1:9" ht="12" thickTop="1" x14ac:dyDescent="0.2">
      <c r="B33" t="s">
        <v>809</v>
      </c>
      <c r="D33" s="245">
        <f t="shared" ref="D33:I33" si="1">SUM(D5:D31)</f>
        <v>1056518.5999999999</v>
      </c>
      <c r="E33" s="245">
        <f t="shared" si="1"/>
        <v>36346.280000000006</v>
      </c>
      <c r="F33" s="245">
        <f t="shared" si="1"/>
        <v>15289</v>
      </c>
      <c r="G33" s="245">
        <f t="shared" si="1"/>
        <v>3517.92</v>
      </c>
      <c r="H33" s="245">
        <f t="shared" si="1"/>
        <v>380.92</v>
      </c>
      <c r="I33" s="245">
        <f t="shared" si="1"/>
        <v>0</v>
      </c>
    </row>
    <row r="35" spans="1:9" ht="12" thickBot="1" x14ac:dyDescent="0.25">
      <c r="B35" s="251" t="s">
        <v>831</v>
      </c>
      <c r="D35" s="252">
        <f>E33</f>
        <v>36346.280000000006</v>
      </c>
      <c r="E35" s="248"/>
      <c r="F35" s="335" t="s">
        <v>1632</v>
      </c>
      <c r="G35" s="336"/>
      <c r="H35" s="336"/>
      <c r="I35" s="336"/>
    </row>
    <row r="36" spans="1:9" ht="12" thickTop="1" x14ac:dyDescent="0.2">
      <c r="B36" t="s">
        <v>810</v>
      </c>
      <c r="D36" s="20">
        <f>D33</f>
        <v>1056518.5999999999</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2" t="s">
        <v>900</v>
      </c>
      <c r="C53" s="372"/>
      <c r="D53" s="372"/>
      <c r="E53" s="372"/>
      <c r="F53" s="372"/>
      <c r="G53" s="372"/>
      <c r="H53" s="372"/>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Landaff School District</v>
      </c>
      <c r="B2" s="126">
        <f>'DOE25'!B2</f>
        <v>291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644727.78</v>
      </c>
      <c r="G4" s="302">
        <f>'DOE25'!L212+'DOE25'!L291</f>
        <v>644727.78000000014</v>
      </c>
      <c r="H4" s="355">
        <f>F4-G4</f>
        <v>0</v>
      </c>
      <c r="I4" s="373" t="str">
        <f>IF(H4=0,"","ISSUES!! Please review page 7 and 11 totals in comparison with total on this page")</f>
        <v/>
      </c>
      <c r="N4"/>
    </row>
    <row r="5" spans="1:18" x14ac:dyDescent="0.2">
      <c r="A5" s="21" t="s">
        <v>1177</v>
      </c>
      <c r="B5" s="303">
        <f>IFERROR(VLOOKUP(A5,'School Tables'!$C$3:$D$365,2,FALSE),"")</f>
        <v>21410</v>
      </c>
      <c r="C5" s="296" t="str">
        <f>IFERROR(INDEX('School Tables'!$B$3:$B$365,MATCH('School Level Expenditures'!B5,'School Tables'!$D$3:$D$365,0)),"")</f>
        <v>Landaff</v>
      </c>
      <c r="D5" s="293">
        <v>594547.6</v>
      </c>
      <c r="E5" s="293">
        <v>50180.18</v>
      </c>
      <c r="F5" s="306">
        <f>D5+E5</f>
        <v>644727.78</v>
      </c>
      <c r="G5" s="296"/>
      <c r="H5" s="296"/>
      <c r="I5" s="374"/>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4"/>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594547.6</v>
      </c>
      <c r="E21" s="353">
        <f>SUM(E5:E20)</f>
        <v>50180.18</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161479.71</v>
      </c>
      <c r="G24" s="302">
        <f>'DOE25'!L230+'DOE25'!L310</f>
        <v>161479.71</v>
      </c>
      <c r="H24" s="355">
        <f>F24-G24</f>
        <v>0</v>
      </c>
      <c r="I24" s="373"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161479.71</v>
      </c>
      <c r="E25" s="293"/>
      <c r="F25" s="306">
        <f>D25+E25</f>
        <v>161479.71</v>
      </c>
      <c r="G25" s="296"/>
      <c r="H25" s="296"/>
      <c r="I25" s="374"/>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4"/>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161479.71</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287315.52</v>
      </c>
      <c r="G36" s="302">
        <f>'DOE25'!L248+'DOE25'!L329</f>
        <v>287315.52</v>
      </c>
      <c r="H36" s="355">
        <f>F36-G36</f>
        <v>0</v>
      </c>
      <c r="I36" s="373"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287315.52</v>
      </c>
      <c r="E37" s="293"/>
      <c r="F37" s="306">
        <f t="shared" ref="F37:F42" si="2">D37+E37</f>
        <v>287315.52</v>
      </c>
      <c r="G37" s="296"/>
      <c r="H37" s="296"/>
      <c r="I37" s="374"/>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4"/>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287315.52</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2"/>
      <c r="B58" s="372"/>
      <c r="C58" s="372"/>
      <c r="D58" s="372"/>
      <c r="E58" s="372"/>
      <c r="F58" s="372"/>
      <c r="G58" s="372"/>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I16" sqref="I1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Landaff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109379.06</v>
      </c>
      <c r="D8" s="95">
        <f>'DOE25'!G9</f>
        <v>0</v>
      </c>
      <c r="E8" s="95">
        <f>'DOE25'!H9</f>
        <v>0</v>
      </c>
      <c r="F8" s="95">
        <f>'DOE25'!I9</f>
        <v>0</v>
      </c>
      <c r="G8" s="95">
        <f>'DOE25'!J9</f>
        <v>311966.25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11815.01</v>
      </c>
      <c r="D11" s="95">
        <f>'DOE25'!G12</f>
        <v>0</v>
      </c>
      <c r="E11" s="95">
        <f>'DOE25'!H12</f>
        <v>11986.78</v>
      </c>
      <c r="F11" s="95">
        <f>'DOE25'!I12</f>
        <v>0</v>
      </c>
      <c r="G11" s="95">
        <f>'DOE25'!J12</f>
        <v>0</v>
      </c>
      <c r="H11" s="124"/>
      <c r="I11" s="124"/>
    </row>
    <row r="12" spans="1:9" x14ac:dyDescent="0.2">
      <c r="A12" s="1" t="s">
        <v>143</v>
      </c>
      <c r="B12" s="6">
        <v>140</v>
      </c>
      <c r="C12" s="95">
        <f>'DOE25'!F13</f>
        <v>0</v>
      </c>
      <c r="D12" s="95">
        <f>'DOE25'!G13</f>
        <v>0</v>
      </c>
      <c r="E12" s="95" t="str">
        <f>'DOE25'!H13</f>
        <v xml:space="preserve"> </v>
      </c>
      <c r="F12" s="95">
        <f>'DOE25'!I13</f>
        <v>0</v>
      </c>
      <c r="G12" s="95">
        <f>'DOE25'!J13</f>
        <v>0</v>
      </c>
      <c r="H12" s="124"/>
      <c r="I12" s="124"/>
    </row>
    <row r="13" spans="1:9" x14ac:dyDescent="0.2">
      <c r="A13" s="1" t="s">
        <v>144</v>
      </c>
      <c r="B13" s="6">
        <v>150</v>
      </c>
      <c r="C13" s="95">
        <f>'DOE25'!F14</f>
        <v>350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121544.06999999999</v>
      </c>
      <c r="D18" s="41">
        <f>SUM(D8:D17)</f>
        <v>0</v>
      </c>
      <c r="E18" s="41">
        <f>SUM(E8:E17)</f>
        <v>11986.78</v>
      </c>
      <c r="F18" s="41">
        <f>SUM(F8:F17)</f>
        <v>0</v>
      </c>
      <c r="G18" s="41">
        <f>SUM(G8:G17)</f>
        <v>311966.25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t="str">
        <f>'DOE25'!F22</f>
        <v xml:space="preserve"> </v>
      </c>
      <c r="D21" s="95">
        <f>'DOE25'!G22</f>
        <v>0</v>
      </c>
      <c r="E21" s="95">
        <f>'DOE25'!H22</f>
        <v>11815.01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9518.33</v>
      </c>
      <c r="D24" s="95">
        <f>'DOE25'!G25</f>
        <v>0</v>
      </c>
      <c r="E24" s="95">
        <f>'DOE25'!H25</f>
        <v>171.77</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9518.33</v>
      </c>
      <c r="D31" s="41">
        <f>SUM(D21:D30)</f>
        <v>0</v>
      </c>
      <c r="E31" s="41">
        <f>SUM(E21:E30)</f>
        <v>11986.78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t="str">
        <f>'DOE25'!H43</f>
        <v xml:space="preserve"> </v>
      </c>
      <c r="F42" s="95">
        <f>'DOE25'!I43</f>
        <v>0</v>
      </c>
      <c r="G42" s="95">
        <f>'DOE25'!J43</f>
        <v>311966.25</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t="str">
        <f>'DOE25'!H45</f>
        <v xml:space="preserve"> </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112025.74</v>
      </c>
      <c r="D49" s="24" t="s">
        <v>288</v>
      </c>
      <c r="E49" s="24" t="s">
        <v>288</v>
      </c>
      <c r="F49" s="24" t="s">
        <v>288</v>
      </c>
      <c r="G49" s="24" t="s">
        <v>288</v>
      </c>
      <c r="H49" s="124"/>
      <c r="I49" s="124"/>
    </row>
    <row r="50" spans="1:9" ht="12.75" thickTop="1" thickBot="1" x14ac:dyDescent="0.25">
      <c r="A50" s="38" t="s">
        <v>884</v>
      </c>
      <c r="B50" s="48"/>
      <c r="C50" s="41">
        <f>SUM(C34:C49)</f>
        <v>112025.74</v>
      </c>
      <c r="D50" s="41">
        <f>SUM(D34:D49)</f>
        <v>0</v>
      </c>
      <c r="E50" s="41">
        <f>SUM(E34:E49)</f>
        <v>0</v>
      </c>
      <c r="F50" s="41">
        <f>SUM(F34:F49)</f>
        <v>0</v>
      </c>
      <c r="G50" s="41">
        <f>SUM(G34:G49)</f>
        <v>311966.25</v>
      </c>
      <c r="H50" s="124"/>
      <c r="I50" s="124"/>
    </row>
    <row r="51" spans="1:9" ht="12" thickTop="1" x14ac:dyDescent="0.2">
      <c r="A51" s="38" t="s">
        <v>885</v>
      </c>
      <c r="B51" s="2"/>
      <c r="C51" s="41">
        <f>C50+C31</f>
        <v>121544.07</v>
      </c>
      <c r="D51" s="41">
        <f>D50+D31</f>
        <v>0</v>
      </c>
      <c r="E51" s="41">
        <f>E50+E31</f>
        <v>11986.78</v>
      </c>
      <c r="F51" s="41">
        <f>F50+F31</f>
        <v>0</v>
      </c>
      <c r="G51" s="41">
        <f>G50+G31</f>
        <v>311966.25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648474</v>
      </c>
      <c r="D56" s="95">
        <f>'DOE25'!G60</f>
        <v>0</v>
      </c>
      <c r="E56" s="95">
        <f>'DOE25'!H60</f>
        <v>0</v>
      </c>
      <c r="F56" s="95">
        <f>'DOE25'!I60</f>
        <v>0</v>
      </c>
      <c r="G56" s="95">
        <f>'DOE25'!J60</f>
        <v>0</v>
      </c>
      <c r="H56"/>
      <c r="I56"/>
    </row>
    <row r="57" spans="1:9" x14ac:dyDescent="0.2">
      <c r="A57" s="1" t="s">
        <v>164</v>
      </c>
      <c r="B57" s="6" t="s">
        <v>165</v>
      </c>
      <c r="C57" s="95">
        <f>'DOE25'!F79</f>
        <v>21534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155.25</v>
      </c>
      <c r="D59" s="95">
        <f>'DOE25'!G96</f>
        <v>0</v>
      </c>
      <c r="E59" s="95">
        <f>'DOE25'!H96</f>
        <v>0</v>
      </c>
      <c r="F59" s="95">
        <f>'DOE25'!I96</f>
        <v>0</v>
      </c>
      <c r="G59" s="95">
        <f>'DOE25'!J96</f>
        <v>872.3</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4971.01</v>
      </c>
      <c r="D61" s="95">
        <f>SUM('DOE25'!G98:G110)</f>
        <v>0</v>
      </c>
      <c r="E61" s="95">
        <f>SUM('DOE25'!H98:H110)</f>
        <v>100</v>
      </c>
      <c r="F61" s="95">
        <f>SUM('DOE25'!I98:I110)</f>
        <v>0</v>
      </c>
      <c r="G61" s="95">
        <f>SUM('DOE25'!J98:J110)</f>
        <v>0</v>
      </c>
      <c r="H61"/>
      <c r="I61"/>
    </row>
    <row r="62" spans="1:9" ht="12.75" thickTop="1" thickBot="1" x14ac:dyDescent="0.25">
      <c r="A62" s="29" t="s">
        <v>174</v>
      </c>
      <c r="B62" s="6"/>
      <c r="C62" s="130">
        <f>SUM(C57:C61)</f>
        <v>26660.260000000002</v>
      </c>
      <c r="D62" s="130">
        <f>SUM(D57:D61)</f>
        <v>0</v>
      </c>
      <c r="E62" s="130">
        <f>SUM(E57:E61)</f>
        <v>100</v>
      </c>
      <c r="F62" s="130">
        <f>SUM(F57:F61)</f>
        <v>0</v>
      </c>
      <c r="G62" s="130">
        <f>SUM(G57:G61)</f>
        <v>872.3</v>
      </c>
      <c r="H62"/>
      <c r="I62"/>
    </row>
    <row r="63" spans="1:9" ht="12" thickTop="1" x14ac:dyDescent="0.2">
      <c r="A63" s="29" t="s">
        <v>175</v>
      </c>
      <c r="B63" s="6"/>
      <c r="C63" s="22">
        <f>C56+C62</f>
        <v>675134.26</v>
      </c>
      <c r="D63" s="22">
        <f>D56+D62</f>
        <v>0</v>
      </c>
      <c r="E63" s="22">
        <f>E56+E62</f>
        <v>100</v>
      </c>
      <c r="F63" s="22">
        <f>F56+F62</f>
        <v>0</v>
      </c>
      <c r="G63" s="22">
        <f>G56+G62</f>
        <v>872.3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206194.97</v>
      </c>
      <c r="D66" s="24" t="s">
        <v>288</v>
      </c>
      <c r="E66" s="24" t="s">
        <v>288</v>
      </c>
      <c r="F66" s="24" t="s">
        <v>288</v>
      </c>
      <c r="G66" s="24" t="s">
        <v>288</v>
      </c>
      <c r="H66"/>
      <c r="I66"/>
    </row>
    <row r="67" spans="1:9" x14ac:dyDescent="0.2">
      <c r="A67" s="1" t="s">
        <v>770</v>
      </c>
      <c r="B67" s="6">
        <v>3112</v>
      </c>
      <c r="C67" s="95">
        <f>'DOE25'!F118</f>
        <v>96282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302476.96999999997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302476.96999999997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1514.14</v>
      </c>
      <c r="D88" s="333">
        <f>SUM('DOE25'!G153:G162)</f>
        <v>0</v>
      </c>
      <c r="E88" s="333">
        <f>SUM('DOE25'!H153:H162)</f>
        <v>50080.18</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2032.86</v>
      </c>
      <c r="D90" s="24" t="s">
        <v>288</v>
      </c>
      <c r="E90" s="24" t="s">
        <v>288</v>
      </c>
      <c r="F90" s="24" t="s">
        <v>288</v>
      </c>
      <c r="G90" s="24" t="s">
        <v>288</v>
      </c>
    </row>
    <row r="91" spans="1:9" ht="12.75" thickTop="1" thickBot="1" x14ac:dyDescent="0.25">
      <c r="A91" s="33" t="s">
        <v>750</v>
      </c>
      <c r="C91" s="131">
        <f>SUM(C85:C90)</f>
        <v>3547</v>
      </c>
      <c r="D91" s="131">
        <f>SUM(D85:D90)</f>
        <v>0</v>
      </c>
      <c r="E91" s="131">
        <f>SUM(E85:E90)</f>
        <v>50080.18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132500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132500</v>
      </c>
    </row>
    <row r="104" spans="1:7" ht="12.75" thickTop="1" thickBot="1" x14ac:dyDescent="0.25">
      <c r="A104" s="33" t="s">
        <v>761</v>
      </c>
      <c r="C104" s="86">
        <f>C63+C81+C91+C103</f>
        <v>981158.23</v>
      </c>
      <c r="D104" s="86">
        <f>D63+D81+D91+D103</f>
        <v>0</v>
      </c>
      <c r="E104" s="86">
        <f>E63+E81+E91+E103</f>
        <v>50180.18</v>
      </c>
      <c r="F104" s="86">
        <f>F63+F81+F91+F103</f>
        <v>0</v>
      </c>
      <c r="G104" s="86">
        <f>G63+G81+G103</f>
        <v>133372.29999999999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717891.13</v>
      </c>
      <c r="D109" s="24" t="s">
        <v>288</v>
      </c>
      <c r="E109" s="95">
        <f>('DOE25'!L277)+('DOE25'!L296)+('DOE25'!L315)</f>
        <v>24017.360000000001</v>
      </c>
      <c r="F109" s="24" t="s">
        <v>288</v>
      </c>
      <c r="G109" s="24" t="s">
        <v>288</v>
      </c>
    </row>
    <row r="110" spans="1:7" x14ac:dyDescent="0.2">
      <c r="A110" t="s">
        <v>198</v>
      </c>
      <c r="B110" s="32" t="s">
        <v>199</v>
      </c>
      <c r="C110" s="95">
        <f>('DOE25'!L199)+('DOE25'!L217)+('DOE25'!L235)</f>
        <v>129243.6</v>
      </c>
      <c r="D110" s="24" t="s">
        <v>288</v>
      </c>
      <c r="E110" s="95">
        <f>('DOE25'!L278)+('DOE25'!L297)+('DOE25'!L316)</f>
        <v>17296.939999999999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11790.710000000003</v>
      </c>
      <c r="D114" s="24" t="s">
        <v>288</v>
      </c>
      <c r="E114" s="95">
        <f>+ SUM('DOE25'!L334:L336)</f>
        <v>0</v>
      </c>
      <c r="F114" s="24" t="s">
        <v>288</v>
      </c>
      <c r="G114" s="24" t="s">
        <v>288</v>
      </c>
    </row>
    <row r="115" spans="1:7" ht="12.75" thickTop="1" thickBot="1" x14ac:dyDescent="0.25">
      <c r="A115" s="33" t="s">
        <v>205</v>
      </c>
      <c r="C115" s="86">
        <f>SUM(C109:C114)</f>
        <v>858925.44</v>
      </c>
      <c r="D115" s="86">
        <f>SUM(D109:D114)</f>
        <v>0</v>
      </c>
      <c r="E115" s="86">
        <f>SUM(E109:E114)</f>
        <v>41314.300000000003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46669.599999999999</v>
      </c>
      <c r="D118" s="24" t="s">
        <v>288</v>
      </c>
      <c r="E118" s="95">
        <f>+('DOE25'!L282)+('DOE25'!L301)+('DOE25'!L320)</f>
        <v>295.45</v>
      </c>
      <c r="F118" s="24" t="s">
        <v>288</v>
      </c>
      <c r="G118" s="24" t="s">
        <v>288</v>
      </c>
    </row>
    <row r="119" spans="1:7" x14ac:dyDescent="0.2">
      <c r="A119" t="s">
        <v>208</v>
      </c>
      <c r="B119" s="32" t="s">
        <v>209</v>
      </c>
      <c r="C119" s="95">
        <f>('DOE25'!L204)+('DOE25'!L222)+('DOE25'!L240)</f>
        <v>168.78</v>
      </c>
      <c r="D119" s="24" t="s">
        <v>288</v>
      </c>
      <c r="E119" s="95">
        <f>+('DOE25'!L283)+('DOE25'!L302)+('DOE25'!L321)</f>
        <v>1941.15</v>
      </c>
      <c r="F119" s="24" t="s">
        <v>288</v>
      </c>
      <c r="G119" s="24" t="s">
        <v>288</v>
      </c>
    </row>
    <row r="120" spans="1:7" x14ac:dyDescent="0.2">
      <c r="A120" t="s">
        <v>210</v>
      </c>
      <c r="B120" s="32" t="s">
        <v>211</v>
      </c>
      <c r="C120" s="95">
        <f>('DOE25'!L205)+('DOE25'!L223)+('DOE25'!L241)</f>
        <v>51714.640000000007</v>
      </c>
      <c r="D120" s="24" t="s">
        <v>288</v>
      </c>
      <c r="E120" s="95">
        <f>+('DOE25'!L284)+('DOE25'!L303)+('DOE25'!L322)</f>
        <v>6629.28</v>
      </c>
      <c r="F120" s="24" t="s">
        <v>288</v>
      </c>
      <c r="G120" s="24" t="s">
        <v>288</v>
      </c>
    </row>
    <row r="121" spans="1:7" x14ac:dyDescent="0.2">
      <c r="A121" t="s">
        <v>212</v>
      </c>
      <c r="B121" s="32" t="s">
        <v>213</v>
      </c>
      <c r="C121" s="95">
        <f>('DOE25'!L206)+('DOE25'!L224)+('DOE25'!L242)</f>
        <v>591.45000000000005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52715.85</v>
      </c>
      <c r="D123" s="24" t="s">
        <v>288</v>
      </c>
      <c r="E123" s="95">
        <f>+('DOE25'!L287)+('DOE25'!L306)+('DOE25'!L325)</f>
        <v>0</v>
      </c>
      <c r="F123" s="24" t="s">
        <v>288</v>
      </c>
      <c r="G123" s="24" t="s">
        <v>288</v>
      </c>
    </row>
    <row r="124" spans="1:7" x14ac:dyDescent="0.2">
      <c r="A124" t="s">
        <v>218</v>
      </c>
      <c r="B124" s="32" t="s">
        <v>219</v>
      </c>
      <c r="C124" s="95">
        <f>('DOE25'!L209)+('DOE25'!L227)+('DOE25'!L245+'DOE25'!L255)</f>
        <v>44347.78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196208.1</v>
      </c>
      <c r="D128" s="86">
        <f>SUM(D118:D127)</f>
        <v>0</v>
      </c>
      <c r="E128" s="86">
        <f>SUM(E118:E127)</f>
        <v>8865.8799999999992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133372.30000000002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-872.30000000001746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132500</v>
      </c>
      <c r="D144" s="141">
        <f>SUM(D130:D143)</f>
        <v>0</v>
      </c>
      <c r="E144" s="141">
        <f>SUM(E130:E143)</f>
        <v>0</v>
      </c>
      <c r="F144" s="141">
        <f>SUM(F130:F143)</f>
        <v>0</v>
      </c>
      <c r="G144" s="141">
        <f>SUM(G130:G143)</f>
        <v>0</v>
      </c>
    </row>
    <row r="145" spans="1:9" ht="12.75" thickTop="1" thickBot="1" x14ac:dyDescent="0.25">
      <c r="A145" s="33" t="s">
        <v>244</v>
      </c>
      <c r="C145" s="86">
        <f>(C115+C128+C144)</f>
        <v>1187633.54</v>
      </c>
      <c r="D145" s="86">
        <f>(D115+D128+D144)</f>
        <v>0</v>
      </c>
      <c r="E145" s="86">
        <f>(E115+E128+E144)</f>
        <v>50180.18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N38" sqref="N3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Landaff School District</v>
      </c>
    </row>
    <row r="3" spans="1:4" x14ac:dyDescent="0.2">
      <c r="B3" s="188" t="s">
        <v>1666</v>
      </c>
    </row>
    <row r="4" spans="1:4" x14ac:dyDescent="0.2">
      <c r="B4" t="s">
        <v>61</v>
      </c>
      <c r="C4" s="179">
        <f>IF('DOE25'!F666+'DOE25'!F671=0,0,ROUND('DOE25'!F673,0))</f>
        <v>23984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23984</v>
      </c>
    </row>
    <row r="9" spans="1:4" x14ac:dyDescent="0.2">
      <c r="A9" s="187" t="s">
        <v>94</v>
      </c>
      <c r="B9" s="188" t="s">
        <v>1671</v>
      </c>
      <c r="C9" s="181" t="s">
        <v>720</v>
      </c>
      <c r="D9" s="181" t="s">
        <v>721</v>
      </c>
    </row>
    <row r="10" spans="1:4" x14ac:dyDescent="0.2">
      <c r="A10">
        <v>1100</v>
      </c>
      <c r="B10" t="s">
        <v>702</v>
      </c>
      <c r="C10" s="179">
        <f>ROUND('DOE25'!L198+'DOE25'!L216+'DOE25'!L234+'DOE25'!L277+'DOE25'!L296+'DOE25'!L315,0)</f>
        <v>741908</v>
      </c>
      <c r="D10" s="182">
        <f>ROUND((C10/$C$28)*100,1)</f>
        <v>67.099999999999994</v>
      </c>
    </row>
    <row r="11" spans="1:4" x14ac:dyDescent="0.2">
      <c r="A11">
        <v>1200</v>
      </c>
      <c r="B11" t="s">
        <v>703</v>
      </c>
      <c r="C11" s="179">
        <f>ROUND('DOE25'!L199+'DOE25'!L217+'DOE25'!L235+'DOE25'!L278+'DOE25'!L297+'DOE25'!L316,0)</f>
        <v>146541</v>
      </c>
      <c r="D11" s="182">
        <f>ROUND((C11/$C$28)*100,1)</f>
        <v>13.3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46965</v>
      </c>
      <c r="D15" s="182">
        <f t="shared" ref="D15:D27" si="0">ROUND((C15/$C$28)*100,1)</f>
        <v>4.2</v>
      </c>
    </row>
    <row r="16" spans="1:4" x14ac:dyDescent="0.2">
      <c r="A16">
        <v>2200</v>
      </c>
      <c r="B16" t="s">
        <v>707</v>
      </c>
      <c r="C16" s="179">
        <f>ROUND('DOE25'!L204+'DOE25'!L222+'DOE25'!L240+'DOE25'!L283+'DOE25'!L302+'DOE25'!L321,0)</f>
        <v>2110</v>
      </c>
      <c r="D16" s="182">
        <f t="shared" si="0"/>
        <v>0.2</v>
      </c>
    </row>
    <row r="17" spans="1:4" x14ac:dyDescent="0.2">
      <c r="A17" s="183" t="s">
        <v>723</v>
      </c>
      <c r="B17" t="s">
        <v>738</v>
      </c>
      <c r="C17" s="179">
        <f>ROUND('DOE25'!L205+'DOE25'!L210+'DOE25'!L223+'DOE25'!L228+'DOE25'!L241+'DOE25'!L246+'DOE25'!L284+'DOE25'!L289+'DOE25'!L303+'DOE25'!L308+'DOE25'!L322+'DOE25'!L327,0)</f>
        <v>58344</v>
      </c>
      <c r="D17" s="182">
        <f t="shared" si="0"/>
        <v>5.3</v>
      </c>
    </row>
    <row r="18" spans="1:4" x14ac:dyDescent="0.2">
      <c r="A18">
        <v>2400</v>
      </c>
      <c r="B18" t="s">
        <v>711</v>
      </c>
      <c r="C18" s="179">
        <f>ROUND('DOE25'!L206+'DOE25'!L224+'DOE25'!L242+'DOE25'!L285+'DOE25'!L304+'DOE25'!L323,0)</f>
        <v>591</v>
      </c>
      <c r="D18" s="182">
        <f t="shared" si="0"/>
        <v>0.1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52716</v>
      </c>
      <c r="D20" s="182">
        <f t="shared" si="0"/>
        <v>4.8</v>
      </c>
    </row>
    <row r="21" spans="1:4" x14ac:dyDescent="0.2">
      <c r="A21">
        <v>2700</v>
      </c>
      <c r="B21" t="s">
        <v>710</v>
      </c>
      <c r="C21" s="179">
        <f>ROUND('DOE25'!L209+'DOE25'!L227+'DOE25'!L245+'DOE25'!L288+'DOE25'!L307+'DOE25'!L326,0)</f>
        <v>44348</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11791</v>
      </c>
      <c r="D24" s="182">
        <f t="shared" si="0"/>
        <v>1.1000000000000001</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1105314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1105314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648474</v>
      </c>
      <c r="D35" s="182">
        <f t="shared" ref="D35:D40" si="1">ROUND((C35/$C$41)*100,1)</f>
        <v>62.8</v>
      </c>
    </row>
    <row r="36" spans="1:4" x14ac:dyDescent="0.2">
      <c r="B36" s="185" t="s">
        <v>739</v>
      </c>
      <c r="C36" s="179">
        <f>SUM('DOE25'!F112:J112)-SUM('DOE25'!G97:G110)+('DOE25'!F175+'DOE25'!F176+'DOE25'!I175+'DOE25'!I176)-C35</f>
        <v>27632.560000000056</v>
      </c>
      <c r="D36" s="182">
        <f t="shared" si="1"/>
        <v>2.7</v>
      </c>
    </row>
    <row r="37" spans="1:4" x14ac:dyDescent="0.2">
      <c r="A37" s="183" t="s">
        <v>835</v>
      </c>
      <c r="B37" s="185" t="s">
        <v>728</v>
      </c>
      <c r="C37" s="179">
        <f>ROUND('DOE25'!F117+'DOE25'!F118,0)</f>
        <v>302477</v>
      </c>
      <c r="D37" s="182">
        <f t="shared" si="1"/>
        <v>29.3</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53627</v>
      </c>
      <c r="D39" s="182">
        <f t="shared" si="1"/>
        <v>5.2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1032210.56</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Landaff School District</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2021-11-08T23:16:41Z</cp:lastPrinted>
  <dcterms:created xsi:type="dcterms:W3CDTF">1997-12-04T19:04:30Z</dcterms:created>
  <dcterms:modified xsi:type="dcterms:W3CDTF">2021-11-09T16:24:26Z</dcterms:modified>
</cp:coreProperties>
</file>