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1"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G339" i="1" l="1"/>
  <c r="G353" i="1" s="1"/>
  <c r="J140" i="1"/>
  <c r="H140" i="1"/>
  <c r="C32" i="10"/>
  <c r="E123" i="2"/>
  <c r="E119" i="2"/>
  <c r="E110" i="2"/>
  <c r="D18" i="13"/>
  <c r="C18" i="13" s="1"/>
  <c r="D15" i="13"/>
  <c r="C15" i="13" s="1"/>
  <c r="C121" i="2"/>
  <c r="E13" i="13"/>
  <c r="C13" i="13" s="1"/>
  <c r="G477" i="1"/>
  <c r="D50" i="2"/>
  <c r="C119" i="2"/>
  <c r="G553" i="1"/>
  <c r="K353" i="1"/>
  <c r="A40" i="12"/>
  <c r="H409" i="1"/>
  <c r="H645" i="1" s="1"/>
  <c r="G409" i="1"/>
  <c r="H646" i="1" s="1"/>
  <c r="J646" i="1" s="1"/>
  <c r="J652" i="1"/>
  <c r="H663" i="1"/>
  <c r="C120" i="2"/>
  <c r="D6" i="13"/>
  <c r="C6" i="13" s="1"/>
  <c r="C110" i="2"/>
  <c r="J258" i="1"/>
  <c r="J272" i="1" s="1"/>
  <c r="G662" i="1"/>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15" i="2" l="1"/>
  <c r="L572" i="1"/>
  <c r="I663" i="1"/>
  <c r="F661" i="1"/>
  <c r="F665" i="1" s="1"/>
  <c r="F668" i="1" s="1"/>
  <c r="C141" i="2"/>
  <c r="C144" i="2" s="1"/>
  <c r="H649" i="1"/>
  <c r="J649" i="1" s="1"/>
  <c r="H661" i="1"/>
  <c r="H665" i="1" s="1"/>
  <c r="H668" i="1" s="1"/>
  <c r="C81" i="2"/>
  <c r="F194" i="1"/>
  <c r="G628" i="1" s="1"/>
  <c r="J628" i="1" s="1"/>
  <c r="E51" i="2"/>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<sst xmlns="http://schemas.openxmlformats.org/spreadsheetml/2006/main" count="5588" uniqueCount="1675">
  <si>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</si>
  <si>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</si>
  <si>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</si>
  <si>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</si>
  <si>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</si>
  <si>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</si>
  <si>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</si>
  <si>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</si>
  <si>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</si>
  <si>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</si>
  <si>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</si>
  <si>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</si>
  <si>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</si>
  <si>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</si>
  <si>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</si>
  <si>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</si>
  <si>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</si>
  <si>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</si>
  <si>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</si>
  <si>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</si>
  <si>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</si>
  <si>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</si>
  <si>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</si>
  <si>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</si>
  <si>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</si>
  <si>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</si>
  <si>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</si>
  <si>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</si>
  <si>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</si>
  <si>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</si>
  <si>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</si>
  <si>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</si>
  <si>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</si>
  <si>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</si>
  <si>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</si>
  <si>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</si>
  <si>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</si>
  <si>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</si>
  <si>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</si>
  <si>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</si>
  <si>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</si>
  <si>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</si>
  <si>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</si>
  <si>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</si>
  <si>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</si>
  <si>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</si>
  <si>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</si>
  <si>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</si>
  <si>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</si>
  <si>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</si>
  <si>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</si>
  <si>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</si>
  <si>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</si>
  <si>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</si>
  <si>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</si>
  <si>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</si>
  <si>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</si>
  <si>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</si>
  <si>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</si>
  <si>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</si>
  <si>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</si>
  <si>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</si>
  <si>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</si>
  <si>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</si>
  <si>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</si>
  <si>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</si>
  <si>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</si>
  <si>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</si>
  <si>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</si>
  <si>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</si>
  <si>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</si>
  <si>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</si>
  <si>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</si>
  <si>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</si>
  <si>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</si>
  <si>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</si>
  <si>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</si>
  <si>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</si>
  <si>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</si>
  <si>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</si>
  <si>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</si>
  <si>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</si>
  <si>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</si>
  <si>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</si>
  <si>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</si>
  <si>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</si>
  <si>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</si>
  <si>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</si>
  <si>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</si>
  <si>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</si>
  <si>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</si>
  <si>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</si>
  <si>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</si>
  <si>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</si>
  <si>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</si>
  <si>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</si>
  <si>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</si>
  <si>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</si>
  <si>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</si>
  <si>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</si>
  <si>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</si>
  <si>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</si>
  <si>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</si>
  <si>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</si>
  <si>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</si>
  <si>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</si>
  <si>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</si>
  <si>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</si>
  <si>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</si>
  <si>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</si>
  <si>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</si>
  <si>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</si>
  <si>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</si>
  <si>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</si>
  <si>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</si>
  <si>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</si>
  <si>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</si>
  <si>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</si>
  <si>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</si>
  <si>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</si>
  <si>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</si>
  <si>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</si>
  <si>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</si>
  <si>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</si>
  <si>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</si>
  <si>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</si>
  <si>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</si>
  <si>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</si>
  <si>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</si>
  <si>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</si>
  <si>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</si>
  <si>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</si>
  <si>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</si>
  <si>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</si>
  <si>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</si>
  <si>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</si>
  <si>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</si>
  <si>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</si>
  <si>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</si>
  <si>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</si>
  <si>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</si>
  <si>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</si>
  <si>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</si>
  <si>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</si>
  <si>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</si>
  <si>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</si>
  <si>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</si>
  <si>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</si>
  <si>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</si>
  <si>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</si>
  <si>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</si>
  <si>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</si>
  <si>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</si>
  <si>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</si>
  <si>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</si>
  <si>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</si>
  <si>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</si>
  <si>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</si>
  <si>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</si>
  <si>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</si>
  <si>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</si>
  <si>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</si>
  <si>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</si>
  <si>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</si>
  <si>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</si>
  <si>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</si>
  <si>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</si>
  <si>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</si>
  <si>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</si>
  <si>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</si>
  <si>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</si>
  <si>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</si>
  <si>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</si>
  <si>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</si>
  <si>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</si>
  <si>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</si>
  <si>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</si>
  <si>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</si>
  <si>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</si>
  <si>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</si>
  <si>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</si>
  <si>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</si>
  <si>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</si>
  <si>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</si>
  <si>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</si>
  <si>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</si>
  <si>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</si>
  <si>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</si>
  <si>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</si>
  <si>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</si>
  <si>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</si>
  <si>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</si>
  <si>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</si>
  <si>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</si>
  <si>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</si>
  <si>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</si>
  <si>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</si>
  <si>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</si>
  <si>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</si>
  <si>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</si>
  <si>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</si>
  <si>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</si>
  <si>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</si>
  <si>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</si>
  <si>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</si>
  <si>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</si>
  <si>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</si>
  <si>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</si>
  <si>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</si>
  <si>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</si>
  <si>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</si>
  <si>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</si>
  <si>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</si>
  <si>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</si>
  <si>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</si>
  <si>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</si>
  <si>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</si>
  <si>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</si>
  <si>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</si>
  <si>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</si>
  <si>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</si>
  <si>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</si>
  <si>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</si>
  <si>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</si>
  <si>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</si>
  <si>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</si>
  <si>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</si>
  <si>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</si>
  <si>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</si>
  <si>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</si>
  <si>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</si>
  <si>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</si>
  <si>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</si>
  <si>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</si>
  <si>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</si>
  <si>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</si>
  <si>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</si>
  <si>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</si>
  <si>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</si>
  <si>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</si>
  <si>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</si>
  <si>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</si>
  <si>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</si>
  <si>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</si>
  <si>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</si>
  <si>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</si>
  <si>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</si>
  <si>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</si>
  <si>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</si>
  <si>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</si>
  <si>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</si>
  <si>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</si>
  <si>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</si>
  <si>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</si>
  <si>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</si>
  <si>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</si>
  <si>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</si>
  <si>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</si>
  <si>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</si>
  <si>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</si>
  <si>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</si>
  <si>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</si>
  <si>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</si>
  <si>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</si>
  <si>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</si>
  <si>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</si>
  <si>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</si>
  <si>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</si>
  <si>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</si>
  <si>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</si>
  <si>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</si>
  <si>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</si>
  <si>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</si>
  <si>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</si>
  <si>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</si>
  <si>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</si>
  <si>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</si>
  <si>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</si>
  <si>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</si>
  <si>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</si>
  <si>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</si>
  <si>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</si>
  <si>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</si>
  <si>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</si>
  <si>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</si>
  <si>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</si>
  <si>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</si>
  <si>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</si>
  <si>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</si>
  <si>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</si>
  <si>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</si>
  <si>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</si>
  <si>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</si>
  <si>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</si>
  <si>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</si>
  <si>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</si>
  <si>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</si>
  <si>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</si>
  <si>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</si>
  <si>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</si>
  <si>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</si>
  <si>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</si>
  <si>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</si>
  <si>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</si>
  <si>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</si>
  <si>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</si>
  <si>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</si>
  <si>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</si>
  <si>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</si>
  <si>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</si>
  <si>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</si>
  <si>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</si>
  <si>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</si>
  <si>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</si>
  <si>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</si>
  <si>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</si>
  <si>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</si>
  <si>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</si>
  <si>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</si>
  <si>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</si>
  <si>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</si>
  <si>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</si>
  <si>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</si>
  <si>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</si>
  <si>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</si>
  <si>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</si>
  <si>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</si>
  <si>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</si>
  <si>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</si>
  <si>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</si>
  <si>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</si>
  <si>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</si>
  <si>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</si>
  <si>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</si>
  <si>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</si>
  <si>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</si>
  <si>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</si>
  <si>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</si>
  <si>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</si>
  <si>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</si>
  <si>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</si>
  <si>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</si>
  <si>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</si>
  <si>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</si>
  <si>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</si>
  <si>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</si>
  <si>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</si>
  <si>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</si>
  <si>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</si>
  <si>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</si>
  <si>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</si>
  <si>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</si>
  <si>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</si>
  <si>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</si>
  <si>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</si>
  <si>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</si>
  <si>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</si>
  <si>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</si>
  <si>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</si>
  <si>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</si>
  <si>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</si>
  <si>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</si>
  <si>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</si>
  <si>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</si>
  <si>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</si>
  <si>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</si>
  <si>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</si>
  <si>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</si>
  <si>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</si>
  <si>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</si>
  <si>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</si>
  <si>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</si>
  <si>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</si>
  <si>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</si>
  <si>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</si>
  <si>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</si>
  <si>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</si>
  <si>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</si>
  <si>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</si>
  <si>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</si>
  <si>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</si>
  <si>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</si>
  <si>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</si>
  <si>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</si>
  <si>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</si>
  <si>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</si>
  <si>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</si>
  <si>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</si>
  <si>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</si>
  <si>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</si>
  <si>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</si>
  <si>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</si>
  <si>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</si>
  <si>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</si>
  <si>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</si>
  <si>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</si>
  <si>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</si>
  <si>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</si>
  <si>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</si>
  <si>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</si>
  <si>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</si>
  <si>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</si>
  <si>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</si>
  <si>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</si>
  <si>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</si>
  <si>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</si>
  <si>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</si>
  <si>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</si>
  <si>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</si>
  <si>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</si>
  <si>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</si>
  <si>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</si>
  <si>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</si>
  <si>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</si>
  <si>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</si>
  <si>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</si>
  <si>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</si>
  <si>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</si>
  <si>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</si>
  <si>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</si>
  <si>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</si>
  <si>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</si>
  <si>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</si>
  <si>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</si>
  <si>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</si>
  <si>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</si>
  <si>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</si>
  <si>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</si>
  <si>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</si>
  <si>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</si>
  <si>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</si>
  <si>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</si>
  <si>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</si>
  <si>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</si>
  <si>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</si>
  <si>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</si>
  <si>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</si>
  <si>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</si>
  <si>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</si>
  <si>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</si>
  <si>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</si>
  <si>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</si>
  <si>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</si>
  <si>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</si>
  <si>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</si>
  <si>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</si>
  <si>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</si>
  <si>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</si>
  <si>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</si>
  <si>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</si>
  <si>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</si>
  <si>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</si>
  <si>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</si>
  <si>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</si>
  <si>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</si>
  <si>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</si>
  <si>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</si>
  <si>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</si>
  <si>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</si>
  <si>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</si>
  <si>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</si>
  <si>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</si>
  <si>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</si>
  <si>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</si>
  <si>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</si>
  <si>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</si>
  <si>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</si>
  <si>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</si>
  <si>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</si>
  <si>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</si>
  <si>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</si>
  <si>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</si>
  <si>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</si>
  <si>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</si>
  <si>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</si>
  <si>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</si>
  <si>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</si>
  <si>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</si>
  <si>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</si>
  <si>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</si>
  <si>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</si>
  <si>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</si>
  <si>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</si>
  <si>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</si>
  <si>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</si>
  <si>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</si>
  <si>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</si>
  <si>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</si>
  <si>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</si>
  <si>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</si>
  <si>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</si>
  <si>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</si>
  <si>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</si>
  <si>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</si>
  <si>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</si>
  <si>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</si>
  <si>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</si>
  <si>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</si>
  <si>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</si>
  <si>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</si>
  <si>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</si>
  <si>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</si>
  <si>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</si>
  <si>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</si>
  <si>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</si>
  <si>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</si>
  <si>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</si>
  <si>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</si>
  <si>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</si>
  <si>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</si>
  <si>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</si>
  <si>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</si>
  <si>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</si>
  <si>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</si>
  <si>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</si>
  <si>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</si>
  <si>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</si>
  <si>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</si>
  <si>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</si>
  <si>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</si>
  <si>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</si>
  <si>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</si>
  <si>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</si>
  <si>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</si>
  <si>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</si>
  <si>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</si>
  <si>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</si>
  <si>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</si>
  <si>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</si>
  <si>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</si>
  <si>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</si>
  <si>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</si>
  <si>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</si>
  <si>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</si>
  <si>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</si>
  <si>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</si>
  <si>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</si>
  <si>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</si>
  <si>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</si>
  <si>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</si>
  <si>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</si>
  <si>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</si>
  <si>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</si>
  <si>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</si>
  <si>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</si>
  <si>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</si>
  <si>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</si>
  <si>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</si>
  <si>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</si>
  <si>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</si>
  <si>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</si>
  <si>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</si>
  <si>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</si>
  <si>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</si>
  <si>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</si>
  <si>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</si>
  <si>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</si>
  <si>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</si>
  <si>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</si>
  <si>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</si>
  <si>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</si>
  <si>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</si>
  <si>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</si>
  <si>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</si>
  <si>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</si>
  <si>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</si>
  <si>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</si>
  <si>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</si>
  <si>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</si>
  <si>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</si>
  <si>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</si>
  <si>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</si>
  <si>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</si>
  <si>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</si>
  <si>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</si>
  <si>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</si>
  <si>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</si>
  <si>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</si>
  <si>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</si>
  <si>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</si>
  <si>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</si>
  <si>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</si>
  <si>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</si>
  <si>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</si>
  <si>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</si>
  <si>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</si>
  <si>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</si>
  <si>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</si>
  <si>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</si>
  <si>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</si>
  <si>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</si>
  <si>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</si>
  <si>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</si>
  <si>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</si>
  <si>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</si>
  <si>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</si>
  <si>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</si>
  <si>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</si>
  <si>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</si>
  <si>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</si>
  <si>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</si>
  <si>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</si>
  <si>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</si>
  <si>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</si>
  <si>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</si>
  <si>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</si>
  <si>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</si>
  <si>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</si>
  <si>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</si>
  <si>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</si>
  <si>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</si>
  <si>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</si>
  <si>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</si>
  <si>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</si>
  <si>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</si>
  <si>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</si>
  <si>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</si>
  <si>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</si>
  <si>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</si>
  <si>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</si>
  <si>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</si>
  <si>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</si>
  <si>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</si>
  <si>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</si>
  <si>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</si>
  <si>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</si>
  <si>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</si>
  <si>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</si>
  <si>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</si>
  <si>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</si>
  <si>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</si>
  <si>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</si>
  <si>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</si>
  <si>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</si>
  <si>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</si>
  <si>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</si>
  <si>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</si>
  <si>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</si>
  <si>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</si>
  <si>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</si>
  <si>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</si>
  <si>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</si>
  <si>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</si>
  <si>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</si>
  <si>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</si>
  <si>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</si>
  <si>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</si>
  <si>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</si>
  <si>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</si>
  <si>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</si>
  <si>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</si>
  <si>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</si>
  <si>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</si>
  <si>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</si>
  <si>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</si>
  <si>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</si>
  <si>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</si>
  <si>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</si>
  <si>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</si>
  <si>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</si>
  <si>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</si>
  <si>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</si>
  <si>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</si>
  <si>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</si>
  <si>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</si>
  <si>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</si>
  <si>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</si>
  <si>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</si>
  <si>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</si>
  <si>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</si>
  <si>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</si>
  <si>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</si>
  <si>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</si>
  <si>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</si>
  <si>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</si>
  <si>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</si>
  <si>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</si>
  <si>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</si>
  <si>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</si>
  <si>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</si>
  <si>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</si>
  <si>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</si>
  <si>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</si>
  <si>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</si>
  <si>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</si>
  <si>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</si>
  <si>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</si>
  <si>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</si>
  <si>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</si>
  <si>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</si>
  <si>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</si>
  <si>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</si>
  <si>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</si>
  <si>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</si>
  <si>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</si>
  <si>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</si>
  <si>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</si>
  <si>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</si>
  <si>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</si>
  <si>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</si>
  <si>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</si>
  <si>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</si>
  <si>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</si>
  <si>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</si>
  <si>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</si>
  <si>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</si>
  <si>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</si>
  <si>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</si>
  <si>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</si>
  <si>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</si>
  <si>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</si>
  <si>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</si>
  <si>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</si>
  <si>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</si>
  <si>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</si>
  <si>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</si>
  <si>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</si>
  <si>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</si>
  <si>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</si>
  <si>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</si>
  <si>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</si>
  <si>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</si>
  <si>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</si>
  <si>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</si>
  <si>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</si>
  <si>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</si>
  <si>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</si>
  <si>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</si>
  <si>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</si>
  <si>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</si>
  <si>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</si>
  <si>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</si>
  <si>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</si>
  <si>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</si>
  <si>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</si>
  <si>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</si>
  <si>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</si>
  <si>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</si>
  <si>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</si>
  <si>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</si>
  <si>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</si>
  <si>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</si>
  <si>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</si>
  <si>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</si>
  <si>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</si>
  <si>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</si>
  <si>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</si>
  <si>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</si>
  <si>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</si>
  <si>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</si>
  <si>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</si>
  <si>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</si>
  <si>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</si>
  <si>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</si>
  <si>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</si>
  <si>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</si>
  <si>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</si>
  <si>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</si>
  <si>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</si>
  <si>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</si>
  <si>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</si>
  <si>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</si>
  <si>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</si>
  <si>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</si>
  <si>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</si>
  <si>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</si>
  <si>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</si>
  <si>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</si>
  <si>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</si>
  <si>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</si>
  <si>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</si>
  <si>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</si>
  <si>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</si>
  <si>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</si>
  <si>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</si>
  <si>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</si>
  <si>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</si>
  <si>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</si>
  <si>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</si>
  <si>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</si>
  <si>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</si>
  <si>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</si>
  <si>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</si>
  <si>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</si>
  <si>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</si>
  <si>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</si>
  <si>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</si>
  <si>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</si>
  <si>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</si>
  <si>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</si>
  <si>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</si>
  <si>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</si>
  <si>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</si>
  <si>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</si>
  <si>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</si>
  <si>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</si>
  <si>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</si>
  <si>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</si>
  <si>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</si>
  <si>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</si>
  <si>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</si>
  <si>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</si>
  <si>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</si>
  <si>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</si>
  <si>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</si>
  <si>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</si>
  <si>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</si>
  <si>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</si>
  <si>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</si>
  <si>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</si>
  <si>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</si>
  <si>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</si>
  <si>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</si>
  <si>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</si>
  <si>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</si>
  <si>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</si>
  <si>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</si>
  <si>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</si>
  <si>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</si>
  <si>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</si>
  <si>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</si>
  <si>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</si>
  <si>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</si>
  <si>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</si>
  <si>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</si>
  <si>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</si>
  <si>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</si>
  <si>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</si>
  <si>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</si>
  <si>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</si>
  <si>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</si>
  <si>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</si>
  <si>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</si>
  <si>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</si>
  <si>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</si>
  <si>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</si>
  <si>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</si>
  <si>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</si>
  <si>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</si>
  <si>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</si>
  <si>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</si>
  <si>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</si>
  <si>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</si>
  <si>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</si>
  <si>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</si>
  <si>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</si>
  <si>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</si>
  <si>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</si>
  <si>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</si>
  <si>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</si>
  <si>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</si>
  <si>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</si>
  <si>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</si>
  <si>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</si>
  <si>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</si>
  <si>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</si>
  <si>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</si>
  <si>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</si>
  <si>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</si>
  <si>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</si>
  <si>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</si>
  <si>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</si>
  <si>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</si>
  <si>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</si>
  <si>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</si>
  <si>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</si>
  <si>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</si>
  <si>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</si>
  <si>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</si>
  <si>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</si>
  <si>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</si>
  <si>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</si>
  <si>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</si>
  <si>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</si>
  <si>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</si>
  <si>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</si>
  <si>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</si>
  <si>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</si>
  <si>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</si>
  <si>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</si>
  <si>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</si>
  <si>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</si>
  <si>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</si>
  <si>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</si>
  <si>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</si>
  <si>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</si>
  <si>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</si>
  <si>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</si>
  <si>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</si>
  <si>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</si>
  <si>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</si>
  <si>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</si>
  <si>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</si>
  <si>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</si>
  <si>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</si>
  <si>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</si>
  <si>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</si>
  <si>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</si>
  <si>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</si>
  <si>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</si>
  <si>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</si>
  <si>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</si>
  <si>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</si>
  <si>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</si>
  <si>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</si>
  <si>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</si>
  <si>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</si>
  <si>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</si>
  <si>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</si>
  <si>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</si>
  <si>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</si>
  <si>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</si>
  <si>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</si>
  <si>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</si>
  <si>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</si>
  <si>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</si>
  <si>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</si>
  <si>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</si>
  <si>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</si>
  <si>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</si>
  <si>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</si>
  <si>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</si>
  <si>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</si>
  <si>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</si>
  <si>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</si>
  <si>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</si>
  <si>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</si>
  <si>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</si>
  <si>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</si>
  <si>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</si>
  <si>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</si>
  <si>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</si>
  <si>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</si>
  <si>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</si>
  <si>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</si>
  <si>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</si>
  <si>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</si>
  <si>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</si>
  <si>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</si>
  <si>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</si>
  <si>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</si>
  <si>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</si>
  <si>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</si>
  <si>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</si>
  <si>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</si>
  <si>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</si>
  <si>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</si>
  <si>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</si>
  <si>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</si>
  <si>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</si>
  <si>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</si>
  <si>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</si>
  <si>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</si>
  <si>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</si>
  <si>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</si>
  <si>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</si>
  <si>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</si>
  <si>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</si>
  <si>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</si>
  <si>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</si>
  <si>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</si>
  <si>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</si>
  <si>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</si>
  <si>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</si>
  <si>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</si>
  <si>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</si>
  <si>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</si>
  <si>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</si>
  <si>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</si>
  <si>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</si>
  <si>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</si>
  <si>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</si>
  <si>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</si>
  <si>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</si>
  <si>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</si>
  <si>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</si>
  <si>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</si>
  <si>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</si>
  <si>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</si>
  <si>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</si>
  <si>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</si>
  <si>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</si>
  <si>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</si>
  <si>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</si>
  <si>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</si>
  <si>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</si>
  <si>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</si>
  <si>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</si>
  <si>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</si>
  <si>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</si>
  <si>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</si>
  <si>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</si>
  <si>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</si>
  <si>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</si>
  <si>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</si>
  <si>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</si>
  <si>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</si>
  <si>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</si>
  <si>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</si>
  <si>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</si>
  <si>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</si>
  <si>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</si>
  <si>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</si>
  <si>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</si>
  <si>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</si>
  <si>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</si>
  <si>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</si>
  <si>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</si>
  <si>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</si>
  <si>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</si>
  <si>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</si>
  <si>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</si>
  <si>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</si>
  <si>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</si>
  <si>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</si>
  <si>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</si>
  <si>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</si>
  <si>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</si>
  <si>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</si>
  <si>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</si>
  <si>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</si>
  <si>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</si>
  <si>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</si>
  <si>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</si>
  <si>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</si>
  <si>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</si>
  <si>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</si>
  <si>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</si>
  <si>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</si>
  <si>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</si>
  <si>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</si>
  <si>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</si>
  <si>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</si>
  <si>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</si>
  <si>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</si>
  <si>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</si>
  <si>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</si>
  <si>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</si>
  <si>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</si>
  <si>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</si>
  <si>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</si>
  <si>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</si>
  <si>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</si>
  <si>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</si>
  <si>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</si>
  <si>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</si>
  <si>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</si>
  <si>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</si>
  <si>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</si>
  <si>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</si>
  <si>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</si>
  <si>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</si>
  <si>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</si>
  <si>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</si>
  <si>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</si>
  <si>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</si>
  <si>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</si>
  <si>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</si>
  <si>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</si>
  <si>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</si>
  <si>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</si>
  <si>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</si>
  <si>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</si>
  <si>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</si>
  <si>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</si>
  <si>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</si>
  <si>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</si>
  <si>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</si>
  <si>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</si>
  <si>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</si>
  <si>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</si>
  <si>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</si>
  <si>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</si>
  <si>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</si>
  <si>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</si>
  <si>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</si>
  <si>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</si>
  <si>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</si>
  <si>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</si>
  <si>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</si>
  <si>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</si>
  <si>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</si>
  <si>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</si>
  <si>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</si>
  <si>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</si>
  <si>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</si>
  <si>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</si>
  <si>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</si>
  <si>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</si>
  <si>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</si>
  <si>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</si>
  <si>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</si>
  <si>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</si>
  <si>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</si>
  <si>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</si>
  <si>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</si>
  <si>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</si>
  <si>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</si>
  <si>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</si>
  <si>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</si>
  <si>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</si>
  <si>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</si>
  <si>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</si>
  <si>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</si>
  <si>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</si>
  <si>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</si>
  <si>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</si>
  <si>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</si>
  <si>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</si>
  <si>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</si>
  <si>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</si>
  <si>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</si>
  <si>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</si>
  <si>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</si>
  <si>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</si>
  <si>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</si>
  <si>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</si>
  <si>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</si>
  <si>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</si>
  <si>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</si>
  <si>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</si>
  <si>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</si>
  <si>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</si>
  <si>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</si>
  <si>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</si>
  <si>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</si>
  <si>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</si>
  <si>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</si>
  <si>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</si>
  <si>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</si>
  <si>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</si>
  <si>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</si>
  <si>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</si>
  <si>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</si>
  <si>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</si>
  <si>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</si>
  <si>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</si>
  <si>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</si>
  <si>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</si>
  <si>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</si>
  <si>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</si>
  <si>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</si>
  <si>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</si>
  <si>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</si>
  <si>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</si>
  <si>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</si>
  <si>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</si>
  <si>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</si>
  <si>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</si>
  <si>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</si>
  <si>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</si>
  <si>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</si>
  <si>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</si>
  <si>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</si>
  <si>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</si>
  <si>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</si>
  <si>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</si>
  <si>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</si>
  <si>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</si>
  <si>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</si>
  <si>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</si>
  <si>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</si>
  <si>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</si>
  <si>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</si>
  <si>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</si>
  <si>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</si>
  <si>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</si>
  <si>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</si>
  <si>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</si>
  <si>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</si>
  <si>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</si>
  <si>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</si>
  <si>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</si>
  <si>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</si>
  <si>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</si>
  <si>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</si>
  <si>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</si>
  <si>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</si>
  <si>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</si>
  <si>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</si>
  <si>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</si>
  <si>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</si>
  <si>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</si>
  <si>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</si>
  <si>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</si>
  <si>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</si>
  <si>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</si>
  <si>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</si>
  <si>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</si>
  <si>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</si>
  <si>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</si>
  <si>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</si>
  <si>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</si>
  <si>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</si>
  <si>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</si>
  <si>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</si>
  <si>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</si>
  <si>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</si>
  <si>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</si>
  <si>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</si>
  <si>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</si>
  <si>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</si>
  <si>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</si>
  <si>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</si>
  <si>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</si>
  <si>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</si>
  <si>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</si>
  <si>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</si>
  <si>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</si>
  <si>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</si>
  <si>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</si>
  <si>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</si>
  <si>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</si>
  <si>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</si>
  <si>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</si>
  <si>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</si>
  <si>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</si>
  <si>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</si>
  <si>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</si>
  <si>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</si>
  <si>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</si>
  <si>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</si>
  <si>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</si>
  <si>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</si>
  <si>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</si>
  <si>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</si>
  <si>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</si>
  <si>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</si>
  <si>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</si>
  <si>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</si>
  <si>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</si>
  <si>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</si>
  <si>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</si>
  <si>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</si>
  <si>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</si>
  <si>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</si>
  <si>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</si>
  <si>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</si>
  <si>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</si>
  <si>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</si>
  <si>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</si>
  <si>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</si>
  <si>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</si>
  <si>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</si>
  <si>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</si>
  <si>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</si>
  <si>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</si>
  <si>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</si>
  <si>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</si>
  <si>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</si>
  <si>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</si>
  <si>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</si>
  <si>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</si>
  <si>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</si>
  <si>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</si>
  <si>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</si>
  <si>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</si>
  <si>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</si>
  <si>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</si>
  <si>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</si>
  <si>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</si>
  <si>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</si>
  <si>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</si>
  <si>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</si>
  <si>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</si>
  <si>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</si>
  <si>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</si>
  <si>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</si>
  <si>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</si>
  <si>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</si>
  <si>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</si>
  <si>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</si>
  <si>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</si>
  <si>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</si>
  <si>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</si>
  <si>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</si>
  <si>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</si>
  <si>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</si>
  <si>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</si>
  <si>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</si>
  <si>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</si>
  <si>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</si>
  <si>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</si>
  <si>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</si>
  <si>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</si>
  <si>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</si>
  <si>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</si>
  <si>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</si>
  <si>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</si>
  <si>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</si>
  <si>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</si>
  <si>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</si>
  <si>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</si>
  <si>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</si>
  <si>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</si>
  <si>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</si>
  <si>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</si>
  <si>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</si>
  <si>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</si>
  <si>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</si>
  <si>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</si>
  <si>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</si>
  <si>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</si>
  <si>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</si>
  <si>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</si>
  <si>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</si>
  <si>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</si>
  <si>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</si>
  <si>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</si>
  <si>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</si>
  <si>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</si>
  <si>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</si>
  <si>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</si>
  <si>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</si>
  <si>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</si>
  <si>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</si>
  <si>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</si>
  <si>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</si>
  <si>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</si>
  <si>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</si>
  <si>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</si>
  <si>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</si>
  <si>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</si>
  <si>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</si>
  <si>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</si>
  <si>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</si>
  <si>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</si>
  <si>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</si>
  <si>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</si>
  <si>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</si>
  <si>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</si>
  <si>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</si>
  <si>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</si>
  <si>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</si>
  <si>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</si>
  <si>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</si>
  <si>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</si>
  <si>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</si>
  <si>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</si>
  <si>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</si>
  <si>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</si>
  <si>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</si>
  <si>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</si>
  <si>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</si>
  <si>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</si>
  <si>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</si>
  <si>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</si>
  <si>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</si>
  <si>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</si>
  <si>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</si>
  <si>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</si>
  <si>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</si>
  <si>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</si>
  <si>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</si>
  <si>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</si>
  <si>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</si>
  <si>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</si>
  <si>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</si>
  <si>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</si>
  <si>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</si>
  <si>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</si>
  <si>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</si>
  <si>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</si>
  <si>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</si>
  <si>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</si>
  <si>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</si>
  <si>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</si>
  <si>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</si>
  <si>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</si>
  <si>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</si>
  <si>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</si>
  <si>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</si>
  <si>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</si>
  <si>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</si>
  <si>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</si>
  <si>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</si>
  <si>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</si>
  <si>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</si>
  <si>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</si>
  <si>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</si>
  <si>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</si>
  <si>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</si>
  <si>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</si>
  <si>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</si>
  <si>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</si>
  <si>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</si>
  <si>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</si>
  <si>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</si>
  <si>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</si>
  <si>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</si>
  <si>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</si>
  <si>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</si>
  <si>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</si>
  <si>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</si>
  <si>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</si>
  <si>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</si>
  <si>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</si>
  <si>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</si>
  <si>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</si>
  <si>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</si>
  <si>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</si>
  <si>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</si>
  <si>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</si>
  <si>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</si>
  <si>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</si>
  <si>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</si>
  <si>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</si>
  <si>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</si>
  <si>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</si>
  <si>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</si>
  <si>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</si>
  <si>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</si>
  <si>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</si>
  <si>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</si>
  <si>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</si>
  <si>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</si>
  <si>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</si>
  <si>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</si>
  <si>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</si>
  <si>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</si>
  <si>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</si>
  <si>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</si>
  <si>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</si>
  <si>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</si>
  <si>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</si>
  <si>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</si>
  <si>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</si>
  <si>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</si>
  <si>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</si>
  <si>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</si>
  <si>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</si>
  <si>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</si>
  <si>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</si>
  <si>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</si>
  <si>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</si>
  <si>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</si>
  <si>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</si>
  <si>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</si>
  <si>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</si>
  <si>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</si>
  <si>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</si>
  <si>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</si>
  <si>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</si>
  <si>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</si>
  <si>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</si>
  <si>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</si>
  <si>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</si>
  <si>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</si>
  <si>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</si>
  <si>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</si>
  <si>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</si>
  <si>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</si>
  <si>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</si>
  <si>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</si>
  <si>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</si>
  <si>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</si>
  <si>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</si>
  <si>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</si>
  <si>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</si>
  <si>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</si>
  <si>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</si>
  <si>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</si>
  <si>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</si>
  <si>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</si>
  <si>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</si>
  <si>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</si>
  <si>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</si>
  <si>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</si>
  <si>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</si>
  <si>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</si>
  <si>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</si>
  <si>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</si>
  <si>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</si>
  <si>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</si>
  <si>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</si>
  <si>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</si>
  <si>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</si>
  <si>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</si>
  <si>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</si>
  <si>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</si>
  <si>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</si>
  <si>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</si>
  <si>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</si>
  <si>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</si>
  <si>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</si>
  <si>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</si>
  <si>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</si>
  <si>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</si>
  <si>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</si>
  <si>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</si>
  <si>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</si>
  <si>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</si>
  <si>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</si>
  <si>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</si>
  <si>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</si>
  <si>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</si>
  <si>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</si>
  <si>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</si>
  <si>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</si>
  <si>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</si>
  <si>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</si>
  <si>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</si>
  <si>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</si>
  <si>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</si>
  <si>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</si>
  <si>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</si>
  <si>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</si>
  <si>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</si>
  <si>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</si>
  <si>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</si>
  <si>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</si>
  <si>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</si>
  <si>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</si>
  <si>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</si>
  <si>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</si>
  <si>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</si>
  <si>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</si>
  <si>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</si>
  <si>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</si>
  <si>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</si>
  <si>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</si>
  <si>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</si>
  <si>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</si>
  <si>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</si>
  <si>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</si>
  <si>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</si>
  <si>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</si>
  <si>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</si>
  <si>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</si>
  <si>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</si>
  <si>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</si>
  <si>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</si>
  <si>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</si>
  <si>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</si>
  <si>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</si>
  <si>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</si>
  <si>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</si>
  <si>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</si>
  <si>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</si>
  <si>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</si>
  <si>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</si>
  <si>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</si>
  <si>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</si>
  <si>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</si>
  <si>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</si>
  <si>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</si>
  <si>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</si>
  <si>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</si>
  <si>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</si>
  <si>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</si>
  <si>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</si>
  <si>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</si>
  <si>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</si>
  <si>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</si>
  <si>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</si>
  <si>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</si>
  <si>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</si>
  <si>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</si>
  <si>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</si>
  <si>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</si>
  <si>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</si>
  <si>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</si>
  <si>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</si>
  <si>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</si>
  <si>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</si>
  <si>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</si>
  <si>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</si>
  <si>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</si>
  <si>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</si>
  <si>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</si>
  <si>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</si>
  <si>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</si>
  <si>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</si>
  <si>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</si>
  <si>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</si>
  <si>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</si>
  <si>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</si>
  <si>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</si>
  <si>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</si>
  <si>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</si>
  <si>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</si>
  <si>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</si>
  <si>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</si>
  <si>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</si>
  <si>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</si>
  <si>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</si>
  <si>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</si>
  <si>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</si>
  <si>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</si>
  <si>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</si>
  <si>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</si>
  <si>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</si>
  <si>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</si>
  <si>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</si>
  <si>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</si>
  <si>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</si>
  <si>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</si>
  <si>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</si>
  <si>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</si>
  <si>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</si>
  <si>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</si>
  <si>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</si>
  <si>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</si>
  <si>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</si>
  <si>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</si>
  <si>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</si>
  <si>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</si>
  <si>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</si>
  <si>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</si>
  <si>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</si>
  <si>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</si>
  <si>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</si>
  <si>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</si>
  <si>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</si>
  <si>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</si>
  <si>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</si>
  <si>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</si>
  <si>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</si>
  <si>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</si>
  <si>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</si>
  <si>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</si>
  <si>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</si>
  <si>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</si>
  <si>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</si>
  <si>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</si>
  <si>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</si>
  <si>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</si>
  <si>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</si>
  <si>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</si>
  <si>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</si>
  <si>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</si>
  <si>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</si>
  <si>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</si>
  <si>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</si>
  <si>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</si>
  <si>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</si>
  <si>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</si>
  <si>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</si>
  <si>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</si>
  <si>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</si>
  <si>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</si>
  <si>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</si>
  <si>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</si>
  <si>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</si>
  <si>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</si>
  <si>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</si>
  <si>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</si>
  <si>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</si>
  <si>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</si>
  <si>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</si>
  <si>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</si>
  <si>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</si>
  <si>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</si>
  <si>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</si>
  <si>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</si>
  <si>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</si>
  <si>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</si>
  <si>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</si>
  <si>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</si>
  <si>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</si>
  <si>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</si>
  <si>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</si>
  <si>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</si>
  <si>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</si>
  <si>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</si>
  <si>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</si>
  <si>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</si>
  <si>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</si>
  <si>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</si>
  <si>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</si>
  <si>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</si>
  <si>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</si>
  <si>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LEMPSTER SCHOOL DISTRICT</t>
  </si>
  <si>
    <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</si>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</sst>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299</v>
      </c>
      <c r="C2" s="21">
        <v>299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430188.31</v>
      </c>
      <c r="G9" s="18">
        <v>18646.34</v>
      </c>
      <c r="H9" s="18">
        <v>-19161.93</v>
      </c>
      <c r="I9" s="18"/>
      <c r="J9" s="67">
        <f>SUM(I440)</f>
        <v>201501.59</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3587.21</v>
      </c>
      <c r="G13" s="18">
        <v>10817.12</v>
      </c>
      <c r="H13" s="18">
        <v>19519.43</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28459.32</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27316.97</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489551.81000000006</v>
      </c>
      <c r="G19" s="41">
        <f>SUM(G9:G18)</f>
        <v>29463.46</v>
      </c>
      <c r="H19" s="41">
        <f>SUM(H9:H18)</f>
        <v>357.5</v>
      </c>
      <c r="I19" s="41">
        <f>SUM(I9:I18)</f>
        <v>0</v>
      </c>
      <c r="J19" s="41">
        <f>SUM(J9:J18)</f>
        <v>201501.59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8000</v>
      </c>
      <c r="K23" s="24" t="s">
        <v>288</v>
      </c>
      <c r="L23" s="24" t="s">
        <v>288</v>
      </c>
      <c r="M23" s="8"/>
      <c r="N23" s="264"/>
    </row>
    <row r="24" spans="1:14" s="3" customFormat="1" ht="12.2" customHeight="1" x14ac:dyDescent="0.15">
      <c r="A24" s="1" t="s">
        <v>570</v>
      </c>
      <c r="B24" s="2" t="s">
        <v>289</v>
      </c>
      <c r="C24" s="6">
        <v>14</v>
      </c>
      <c r="D24" s="2" t="s">
        <v>429</v>
      </c>
      <c r="E24" s="6">
        <v>420</v>
      </c>
      <c r="F24" s="18">
        <v>40031.31</v>
      </c>
      <c r="G24" s="18">
        <v>1610.53</v>
      </c>
      <c r="H24" s="18">
        <v>357.5</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45500</v>
      </c>
      <c r="G25" s="10">
        <v>23148.93</v>
      </c>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5076.8500000000004</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6865.42</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97473.58</v>
      </c>
      <c r="G32" s="41">
        <f>SUM(G22:G31)</f>
        <v>24759.46</v>
      </c>
      <c r="H32" s="41">
        <f>SUM(H22:H31)</f>
        <v>357.5</v>
      </c>
      <c r="I32" s="41">
        <f>SUM(I22:I31)</f>
        <v>0</v>
      </c>
      <c r="J32" s="41">
        <f>SUM(J22:J31)</f>
        <v>8000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193501.59</v>
      </c>
      <c r="K48" s="24" t="s">
        <v>288</v>
      </c>
      <c r="L48" s="24" t="s">
        <v>288</v>
      </c>
      <c r="M48" s="8"/>
      <c r="N48" s="264"/>
    </row>
    <row r="49" spans="1:14" s="3" customFormat="1" ht="12.2" customHeight="1" x14ac:dyDescent="0.15">
      <c r="A49" s="1" t="s">
        <v>859</v>
      </c>
      <c r="B49" s="2" t="s">
        <v>289</v>
      </c>
      <c r="C49" s="6">
        <v>34</v>
      </c>
      <c r="D49" s="2"/>
      <c r="E49" s="6">
        <v>753</v>
      </c>
      <c r="F49" s="18">
        <v>61285.49</v>
      </c>
      <c r="G49" s="18">
        <v>4704</v>
      </c>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255792.74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392078.23</v>
      </c>
      <c r="G51" s="41">
        <f>SUM(G35:G50)</f>
        <v>4704</v>
      </c>
      <c r="H51" s="41">
        <f>SUM(H35:H50)</f>
        <v>0</v>
      </c>
      <c r="I51" s="41">
        <f>SUM(I35:I50)</f>
        <v>0</v>
      </c>
      <c r="J51" s="41">
        <f>SUM(J35:J50)</f>
        <v>193501.59</v>
      </c>
      <c r="K51" s="45" t="s">
        <v>288</v>
      </c>
      <c r="L51" s="45" t="s">
        <v>288</v>
      </c>
      <c r="N51" s="262"/>
    </row>
    <row r="52" spans="1:14" s="3" customFormat="1" ht="12.2" customHeight="1" thickTop="1" x14ac:dyDescent="0.15">
      <c r="A52" s="38" t="s">
        <v>455</v>
      </c>
      <c r="B52" s="39" t="s">
        <v>289</v>
      </c>
      <c r="C52" s="6">
        <v>37</v>
      </c>
      <c r="D52" s="39" t="s">
        <v>653</v>
      </c>
      <c r="E52" s="39"/>
      <c r="F52" s="41">
        <f>F51+F32</f>
        <v>489551.81</v>
      </c>
      <c r="G52" s="41">
        <f>G51+G32</f>
        <v>29463.46</v>
      </c>
      <c r="H52" s="41">
        <f>H51+H32</f>
        <v>357.5</v>
      </c>
      <c r="I52" s="41">
        <f>I51+I32</f>
        <v>0</v>
      </c>
      <c r="J52" s="41">
        <f>J51+J32</f>
        <v>201501.59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1951110</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1951110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13887</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15816.74</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29703.739999999998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290.60000000000002</v>
      </c>
      <c r="G96" s="18"/>
      <c r="H96" s="18"/>
      <c r="I96" s="18"/>
      <c r="J96" s="18">
        <v>152.30000000000001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3123.58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3950</v>
      </c>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v>14631</v>
      </c>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37046.51</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41287.11</v>
      </c>
      <c r="G111" s="41">
        <f>SUM(G96:G110)</f>
        <v>17754.580000000002</v>
      </c>
      <c r="H111" s="41">
        <f>SUM(H96:H110)</f>
        <v>0</v>
      </c>
      <c r="I111" s="41">
        <f>SUM(I96:I110)</f>
        <v>0</v>
      </c>
      <c r="J111" s="41">
        <f>SUM(J96:J110)</f>
        <v>152.30000000000001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2022100.85</v>
      </c>
      <c r="G112" s="41">
        <f>G60+G111</f>
        <v>17754.580000000002</v>
      </c>
      <c r="H112" s="41">
        <f>H60+H79+H94+H111</f>
        <v>0</v>
      </c>
      <c r="I112" s="41">
        <f>I60+I111</f>
        <v>0</v>
      </c>
      <c r="J112" s="41">
        <f>J60+J111</f>
        <v>152.30000000000001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676387.07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275678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954060.27999999991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7483.47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894.48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7483.47</v>
      </c>
      <c r="G136" s="41">
        <f>SUM(G123:G135)</f>
        <v>894.48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961543.74999999988</v>
      </c>
      <c r="G140" s="41">
        <f>G121+SUM(G136:G137)</f>
        <v>894.48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31627.71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5481.98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55906.58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28315.62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23763.16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7844.04</v>
      </c>
      <c r="H161" s="18">
        <v>73408.25</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19238.32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23763.16</v>
      </c>
      <c r="G163" s="41">
        <f>SUM(G150:G162)</f>
        <v>63750.62</v>
      </c>
      <c r="H163" s="41">
        <f>SUM(H150:H162)</f>
        <v>158071.88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23763.16</v>
      </c>
      <c r="G170" s="41">
        <f>G147+G163+SUM(G164:G169)</f>
        <v>63750.62</v>
      </c>
      <c r="H170" s="41">
        <f>H147+H163+SUM(H164:H169)</f>
        <v>158071.88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21492</v>
      </c>
      <c r="H180" s="18"/>
      <c r="I180" s="18"/>
      <c r="J180" s="18">
        <v>90000</v>
      </c>
      <c r="K180" s="24" t="s">
        <v>288</v>
      </c>
      <c r="L180" s="24" t="s">
        <v>288</v>
      </c>
      <c r="M180" s="8"/>
      <c r="N180" s="264"/>
    </row>
    <row r="181" spans="1:14" s="3" customFormat="1" ht="12.2" customHeight="1" x14ac:dyDescent="0.15">
      <c r="A181" s="1" t="s">
        <v>525</v>
      </c>
      <c r="B181" s="2" t="s">
        <v>330</v>
      </c>
      <c r="C181" s="6">
        <v>7</v>
      </c>
      <c r="D181" s="2" t="s">
        <v>430</v>
      </c>
      <c r="E181" s="6">
        <v>5221</v>
      </c>
      <c r="F181" s="18">
        <v>11075.54</v>
      </c>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11075.54</v>
      </c>
      <c r="G184" s="41">
        <f>SUM(G180:G183)</f>
        <v>21492</v>
      </c>
      <c r="H184" s="41">
        <f>SUM(H180:H183)</f>
        <v>0</v>
      </c>
      <c r="I184" s="41">
        <f>SUM(I180:I183)</f>
        <v>0</v>
      </c>
      <c r="J184" s="41">
        <f>SUM(J180:J183)</f>
        <v>90000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8000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8000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19075.54</v>
      </c>
      <c r="G193" s="41">
        <f>G184+SUM(G189:G192)</f>
        <v>21492</v>
      </c>
      <c r="H193" s="41">
        <f>+H184+SUM(H189:H192)</f>
        <v>0</v>
      </c>
      <c r="I193" s="41">
        <f>I178+I184+SUM(I189:I192)</f>
        <v>0</v>
      </c>
      <c r="J193" s="41">
        <f>J184</f>
        <v>90000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3026483.3000000003</v>
      </c>
      <c r="G194" s="47">
        <f>G112+G140+G170+G193</f>
        <v>103891.68000000001</v>
      </c>
      <c r="H194" s="47">
        <f>H112+H140+H170+H193</f>
        <v>158071.88</v>
      </c>
      <c r="I194" s="47">
        <f>I112+I140+I170+I193</f>
        <v>0</v>
      </c>
      <c r="J194" s="47">
        <f>J112+J140+J193</f>
        <v>90152.3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427480.15</v>
      </c>
      <c r="G198" s="18">
        <v>214826.67</v>
      </c>
      <c r="H198" s="18">
        <v>20069.82</v>
      </c>
      <c r="I198" s="18">
        <v>24959.23</v>
      </c>
      <c r="J198" s="18">
        <v>629.05999999999995</v>
      </c>
      <c r="K198" s="18"/>
      <c r="L198" s="19">
        <f>SUM(F198:K198)</f>
        <v>687964.93</v>
      </c>
      <c r="M198" s="8" t="s">
        <v>1673</v>
      </c>
      <c r="N198" s="264"/>
    </row>
    <row r="199" spans="1:14" s="3" customFormat="1" ht="12.2" customHeight="1" x14ac:dyDescent="0.15">
      <c r="A199" s="1" t="s">
        <v>439</v>
      </c>
      <c r="B199" s="2" t="s">
        <v>341</v>
      </c>
      <c r="C199" s="2" t="s">
        <v>291</v>
      </c>
      <c r="D199" s="2" t="s">
        <v>431</v>
      </c>
      <c r="E199" s="6">
        <v>1200</v>
      </c>
      <c r="F199" s="18">
        <v>277664.84999999998</v>
      </c>
      <c r="G199" s="18">
        <v>93387.42</v>
      </c>
      <c r="H199" s="18">
        <v>73961.36</v>
      </c>
      <c r="I199" s="18">
        <v>3329.68</v>
      </c>
      <c r="J199" s="18"/>
      <c r="K199" s="18"/>
      <c r="L199" s="19">
        <f>SUM(F199:K199)</f>
        <v>448343.30999999994</v>
      </c>
      <c r="M199" s="8" t="s">
        <v>1673</v>
      </c>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13644.52</v>
      </c>
      <c r="G201" s="18">
        <v>2776.8</v>
      </c>
      <c r="H201" s="18">
        <v>2765</v>
      </c>
      <c r="I201" s="18">
        <v>574.04999999999995</v>
      </c>
      <c r="J201" s="18"/>
      <c r="K201" s="18"/>
      <c r="L201" s="19">
        <f>SUM(F201:K201)</f>
        <v>19760.37</v>
      </c>
      <c r="M201" s="8" t="s">
        <v>1673</v>
      </c>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75438.52</v>
      </c>
      <c r="G203" s="18">
        <v>7228.13</v>
      </c>
      <c r="H203" s="18">
        <v>162790.63</v>
      </c>
      <c r="I203" s="18">
        <v>3174.68</v>
      </c>
      <c r="J203" s="18"/>
      <c r="K203" s="18">
        <v>180</v>
      </c>
      <c r="L203" s="19">
        <f t="shared" ref="L203:L209" si="0">SUM(F203:K203)</f>
        <v>248811.96000000002</v>
      </c>
      <c r="M203" s="8" t="s">
        <v>1673</v>
      </c>
      <c r="N203" s="264"/>
    </row>
    <row r="204" spans="1:14" s="3" customFormat="1" ht="12.2" customHeight="1" x14ac:dyDescent="0.15">
      <c r="A204" s="1" t="s">
        <v>443</v>
      </c>
      <c r="B204" s="2" t="s">
        <v>341</v>
      </c>
      <c r="C204" s="2" t="s">
        <v>295</v>
      </c>
      <c r="D204" s="2" t="s">
        <v>431</v>
      </c>
      <c r="E204" s="6">
        <v>2200</v>
      </c>
      <c r="F204" s="18">
        <v>61116.52</v>
      </c>
      <c r="G204" s="18">
        <v>42066.93</v>
      </c>
      <c r="H204" s="18">
        <v>3656.98</v>
      </c>
      <c r="I204" s="18">
        <v>14524.76</v>
      </c>
      <c r="J204" s="18">
        <v>4541.76</v>
      </c>
      <c r="K204" s="18"/>
      <c r="L204" s="19">
        <f t="shared" si="0"/>
        <v>125906.94999999998</v>
      </c>
      <c r="M204" s="8" t="s">
        <v>1673</v>
      </c>
      <c r="N204" s="264"/>
    </row>
    <row r="205" spans="1:14" s="3" customFormat="1" ht="12.2" customHeight="1" x14ac:dyDescent="0.15">
      <c r="A205" s="1" t="s">
        <v>444</v>
      </c>
      <c r="B205" s="2" t="s">
        <v>341</v>
      </c>
      <c r="C205" s="2" t="s">
        <v>296</v>
      </c>
      <c r="D205" s="2" t="s">
        <v>431</v>
      </c>
      <c r="E205" s="6">
        <v>2300</v>
      </c>
      <c r="F205" s="18">
        <v>103377</v>
      </c>
      <c r="G205" s="18">
        <v>87779.22</v>
      </c>
      <c r="H205" s="18">
        <v>21250.47</v>
      </c>
      <c r="I205" s="18">
        <v>1954.55</v>
      </c>
      <c r="J205" s="18">
        <v>549.97</v>
      </c>
      <c r="K205" s="18">
        <v>6287.17</v>
      </c>
      <c r="L205" s="19">
        <f t="shared" si="0"/>
        <v>221198.38</v>
      </c>
      <c r="M205" s="8"/>
      <c r="N205" s="264"/>
    </row>
    <row r="206" spans="1:14" s="3" customFormat="1" ht="12.2" customHeight="1" x14ac:dyDescent="0.15">
      <c r="A206" s="1" t="s">
        <v>445</v>
      </c>
      <c r="B206" s="2" t="s">
        <v>341</v>
      </c>
      <c r="C206" s="2" t="s">
        <v>297</v>
      </c>
      <c r="D206" s="2" t="s">
        <v>431</v>
      </c>
      <c r="E206" s="6">
        <v>2400</v>
      </c>
      <c r="F206" s="18">
        <v>132363.79999999999</v>
      </c>
      <c r="G206" s="18">
        <v>75003.56</v>
      </c>
      <c r="H206" s="18">
        <v>5305</v>
      </c>
      <c r="I206" s="18">
        <v>2468.21</v>
      </c>
      <c r="J206" s="18">
        <v>310.93</v>
      </c>
      <c r="K206" s="18">
        <v>795</v>
      </c>
      <c r="L206" s="19">
        <f t="shared" si="0"/>
        <v>216246.49999999997</v>
      </c>
      <c r="M206" s="8" t="s">
        <v>1673</v>
      </c>
      <c r="N206" s="264"/>
    </row>
    <row r="207" spans="1:14" s="3" customFormat="1" ht="12.2" customHeight="1" x14ac:dyDescent="0.15">
      <c r="A207" s="1" t="s">
        <v>446</v>
      </c>
      <c r="B207" s="2" t="s">
        <v>341</v>
      </c>
      <c r="C207" s="2" t="s">
        <v>298</v>
      </c>
      <c r="D207" s="2" t="s">
        <v>431</v>
      </c>
      <c r="E207" s="6">
        <v>2500</v>
      </c>
      <c r="F207" s="18"/>
      <c r="G207" s="18"/>
      <c r="H207" s="18"/>
      <c r="I207" s="18">
        <v>57348.25</v>
      </c>
      <c r="J207" s="18"/>
      <c r="K207" s="18"/>
      <c r="L207" s="19">
        <f t="shared" si="0"/>
        <v>57348.25</v>
      </c>
      <c r="M207" s="8" t="s">
        <v>1673</v>
      </c>
      <c r="N207" s="264"/>
    </row>
    <row r="208" spans="1:14" s="3" customFormat="1" ht="12.2" customHeight="1" x14ac:dyDescent="0.15">
      <c r="A208" s="1" t="s">
        <v>447</v>
      </c>
      <c r="B208" s="2" t="s">
        <v>341</v>
      </c>
      <c r="C208" s="2" t="s">
        <v>299</v>
      </c>
      <c r="D208" s="2" t="s">
        <v>431</v>
      </c>
      <c r="E208" s="6">
        <v>2600</v>
      </c>
      <c r="F208" s="18">
        <v>62069.19</v>
      </c>
      <c r="G208" s="18">
        <v>6332.43</v>
      </c>
      <c r="H208" s="18">
        <v>93330.79</v>
      </c>
      <c r="I208" s="18">
        <v>51078.63</v>
      </c>
      <c r="J208" s="18">
        <v>3747.71</v>
      </c>
      <c r="K208" s="18"/>
      <c r="L208" s="19">
        <f t="shared" si="0"/>
        <v>216558.74999999997</v>
      </c>
      <c r="M208" s="8" t="s">
        <v>1673</v>
      </c>
      <c r="N208" s="264"/>
    </row>
    <row r="209" spans="1:14" s="3" customFormat="1" ht="12.2" customHeight="1" x14ac:dyDescent="0.15">
      <c r="A209" s="1" t="s">
        <v>448</v>
      </c>
      <c r="B209" s="2" t="s">
        <v>341</v>
      </c>
      <c r="C209" s="2" t="s">
        <v>300</v>
      </c>
      <c r="D209" s="2" t="s">
        <v>431</v>
      </c>
      <c r="E209" s="6">
        <v>2700</v>
      </c>
      <c r="F209" s="18">
        <v>37909.81</v>
      </c>
      <c r="G209" s="18">
        <v>5117.41</v>
      </c>
      <c r="H209" s="18">
        <v>48442.44</v>
      </c>
      <c r="I209" s="18">
        <v>6701.32</v>
      </c>
      <c r="J209" s="18"/>
      <c r="K209" s="18"/>
      <c r="L209" s="19">
        <f t="shared" si="0"/>
        <v>98170.98000000001</v>
      </c>
      <c r="M209" s="8" t="s">
        <v>1673</v>
      </c>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1191064.3600000001</v>
      </c>
      <c r="G212" s="41">
        <f t="shared" si="1"/>
        <v>534518.57000000007</v>
      </c>
      <c r="H212" s="41">
        <f t="shared" si="1"/>
        <v>431572.49</v>
      </c>
      <c r="I212" s="41">
        <f t="shared" si="1"/>
        <v>166113.36000000002</v>
      </c>
      <c r="J212" s="41">
        <f t="shared" si="1"/>
        <v>9779.43</v>
      </c>
      <c r="K212" s="41">
        <f t="shared" si="1"/>
        <v>7262.17</v>
      </c>
      <c r="L212" s="41">
        <f t="shared" si="1"/>
        <v>2340310.38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385376.2</v>
      </c>
      <c r="I234" s="18"/>
      <c r="J234" s="18"/>
      <c r="K234" s="18"/>
      <c r="L234" s="19">
        <f>SUM(F234:K234)</f>
        <v>385376.2</v>
      </c>
      <c r="M234" s="8" t="s">
        <v>1673</v>
      </c>
      <c r="N234" s="264"/>
    </row>
    <row r="235" spans="1:14" s="3" customFormat="1" ht="12.2" customHeight="1" x14ac:dyDescent="0.15">
      <c r="A235" s="1" t="s">
        <v>439</v>
      </c>
      <c r="B235" s="2" t="s">
        <v>350</v>
      </c>
      <c r="C235" s="2" t="s">
        <v>291</v>
      </c>
      <c r="D235" s="2" t="s">
        <v>431</v>
      </c>
      <c r="E235" s="6">
        <v>1200</v>
      </c>
      <c r="F235" s="18"/>
      <c r="G235" s="18"/>
      <c r="H235" s="18">
        <v>174690.31</v>
      </c>
      <c r="I235" s="18"/>
      <c r="J235" s="18"/>
      <c r="K235" s="18"/>
      <c r="L235" s="19">
        <f>SUM(F235:K235)</f>
        <v>174690.31</v>
      </c>
      <c r="M235" s="8" t="s">
        <v>1673</v>
      </c>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v>15569.36</v>
      </c>
      <c r="I239" s="18"/>
      <c r="J239" s="18"/>
      <c r="K239" s="18"/>
      <c r="L239" s="19">
        <f t="shared" ref="L239:L245" si="4">SUM(F239:K239)</f>
        <v>15569.36</v>
      </c>
      <c r="M239" s="8" t="s">
        <v>1673</v>
      </c>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8000</v>
      </c>
      <c r="I245" s="18"/>
      <c r="J245" s="18"/>
      <c r="K245" s="18"/>
      <c r="L245" s="19">
        <f t="shared" si="4"/>
        <v>8000</v>
      </c>
      <c r="M245" s="8" t="s">
        <v>1673</v>
      </c>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583635.87</v>
      </c>
      <c r="I248" s="41">
        <f t="shared" si="5"/>
        <v>0</v>
      </c>
      <c r="J248" s="41">
        <f t="shared" si="5"/>
        <v>0</v>
      </c>
      <c r="K248" s="41">
        <f t="shared" si="5"/>
        <v>0</v>
      </c>
      <c r="L248" s="41">
        <f t="shared" si="5"/>
        <v>583635.87</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98220</v>
      </c>
      <c r="I256" s="18"/>
      <c r="J256" s="18"/>
      <c r="K256" s="18"/>
      <c r="L256" s="19">
        <f t="shared" si="6"/>
        <v>98220</v>
      </c>
      <c r="M256" s="8" t="s">
        <v>1673</v>
      </c>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98220</v>
      </c>
      <c r="I257" s="41">
        <f t="shared" si="7"/>
        <v>0</v>
      </c>
      <c r="J257" s="41">
        <f t="shared" si="7"/>
        <v>0</v>
      </c>
      <c r="K257" s="41">
        <f t="shared" si="7"/>
        <v>0</v>
      </c>
      <c r="L257" s="41">
        <f>SUM(F257:K257)</f>
        <v>98220</v>
      </c>
      <c r="M257" s="8"/>
      <c r="N257" s="264"/>
    </row>
    <row r="258" spans="1:14" s="3" customFormat="1" ht="12.2" customHeight="1" thickTop="1" x14ac:dyDescent="0.15">
      <c r="A258" s="38" t="s">
        <v>462</v>
      </c>
      <c r="B258" s="40">
        <v>10</v>
      </c>
      <c r="C258" s="40">
        <v>8</v>
      </c>
      <c r="D258" s="39" t="s">
        <v>431</v>
      </c>
      <c r="E258" s="40"/>
      <c r="F258" s="41">
        <f t="shared" ref="F258:L258" si="8">F212+F230+F248+F257</f>
        <v>1191064.3600000001</v>
      </c>
      <c r="G258" s="41">
        <f t="shared" si="8"/>
        <v>534518.57000000007</v>
      </c>
      <c r="H258" s="41">
        <f t="shared" si="8"/>
        <v>1113428.3599999999</v>
      </c>
      <c r="I258" s="41">
        <f t="shared" si="8"/>
        <v>166113.36000000002</v>
      </c>
      <c r="J258" s="41">
        <f t="shared" si="8"/>
        <v>9779.43</v>
      </c>
      <c r="K258" s="41">
        <f t="shared" si="8"/>
        <v>7262.17</v>
      </c>
      <c r="L258" s="41">
        <f t="shared" si="8"/>
        <v>3022166.25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21492</v>
      </c>
      <c r="L264" s="19">
        <f>SUM(F264:K264)</f>
        <v>21492</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90000</v>
      </c>
      <c r="L267" s="19">
        <f t="shared" si="9"/>
        <v>90000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111492</v>
      </c>
      <c r="L271" s="41">
        <f t="shared" si="9"/>
        <v>111492</v>
      </c>
      <c r="M271" s="8"/>
      <c r="N271" s="264"/>
    </row>
    <row r="272" spans="1:14" s="34" customFormat="1" ht="12.2" customHeight="1" thickTop="1" x14ac:dyDescent="0.2">
      <c r="A272" s="43" t="s">
        <v>464</v>
      </c>
      <c r="B272" s="40">
        <v>10</v>
      </c>
      <c r="C272" s="40">
        <v>18</v>
      </c>
      <c r="D272" s="39" t="s">
        <v>431</v>
      </c>
      <c r="E272" s="40"/>
      <c r="F272" s="42">
        <f t="shared" ref="F272:L272" si="11">F258+F271</f>
        <v>1191064.3600000001</v>
      </c>
      <c r="G272" s="42">
        <f t="shared" si="11"/>
        <v>534518.57000000007</v>
      </c>
      <c r="H272" s="42">
        <f t="shared" si="11"/>
        <v>1113428.3599999999</v>
      </c>
      <c r="I272" s="42">
        <f t="shared" si="11"/>
        <v>166113.36000000002</v>
      </c>
      <c r="J272" s="42">
        <f t="shared" si="11"/>
        <v>9779.43</v>
      </c>
      <c r="K272" s="42">
        <f t="shared" si="11"/>
        <v>118754.17</v>
      </c>
      <c r="L272" s="42">
        <f t="shared" si="11"/>
        <v>3133658.25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v>1900</v>
      </c>
      <c r="I277" s="18"/>
      <c r="J277" s="18">
        <v>14265</v>
      </c>
      <c r="K277" s="18"/>
      <c r="L277" s="19">
        <f>SUM(F277:K277)</f>
        <v>16165</v>
      </c>
      <c r="M277" s="8"/>
      <c r="N277" s="264"/>
    </row>
    <row r="278" spans="1:14" s="3" customFormat="1" ht="12.2" customHeight="1" x14ac:dyDescent="0.15">
      <c r="A278" s="1" t="s">
        <v>439</v>
      </c>
      <c r="B278" s="2" t="s">
        <v>357</v>
      </c>
      <c r="C278" s="2" t="s">
        <v>291</v>
      </c>
      <c r="D278" s="2" t="s">
        <v>431</v>
      </c>
      <c r="E278" s="6">
        <v>1200</v>
      </c>
      <c r="F278" s="18">
        <v>26188.560000000001</v>
      </c>
      <c r="G278" s="18">
        <v>5357.88</v>
      </c>
      <c r="H278" s="18">
        <v>51105.67</v>
      </c>
      <c r="I278" s="18">
        <v>2237.4299999999998</v>
      </c>
      <c r="J278" s="18">
        <v>1943.75</v>
      </c>
      <c r="K278" s="18"/>
      <c r="L278" s="19">
        <f>SUM(F278:K278)</f>
        <v>86833.29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1049.54</v>
      </c>
      <c r="I282" s="18">
        <v>260.06</v>
      </c>
      <c r="J282" s="18"/>
      <c r="K282" s="18"/>
      <c r="L282" s="19">
        <f t="shared" ref="L282:L288" si="12">SUM(F282:K282)</f>
        <v>1309.5999999999999</v>
      </c>
      <c r="M282" s="8"/>
      <c r="N282" s="264"/>
    </row>
    <row r="283" spans="1:14" s="3" customFormat="1" ht="12.2" customHeight="1" x14ac:dyDescent="0.15">
      <c r="A283" s="1" t="s">
        <v>443</v>
      </c>
      <c r="B283" s="2" t="s">
        <v>357</v>
      </c>
      <c r="C283" s="2" t="s">
        <v>295</v>
      </c>
      <c r="D283" s="2" t="s">
        <v>431</v>
      </c>
      <c r="E283" s="6">
        <v>2200</v>
      </c>
      <c r="F283" s="18">
        <v>17900.900000000001</v>
      </c>
      <c r="G283" s="18">
        <v>3955.14</v>
      </c>
      <c r="H283" s="18">
        <v>4116.2700000000004</v>
      </c>
      <c r="I283" s="18">
        <v>1582.6</v>
      </c>
      <c r="J283" s="18"/>
      <c r="K283" s="18"/>
      <c r="L283" s="19">
        <f t="shared" si="12"/>
        <v>27554.91</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2635.56</v>
      </c>
      <c r="I287" s="18"/>
      <c r="J287" s="18">
        <v>20466.009999999998</v>
      </c>
      <c r="K287" s="18"/>
      <c r="L287" s="19">
        <f t="shared" si="12"/>
        <v>23101.57</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44089.460000000006</v>
      </c>
      <c r="G291" s="42">
        <f t="shared" si="13"/>
        <v>9313.02</v>
      </c>
      <c r="H291" s="42">
        <f t="shared" si="13"/>
        <v>60807.039999999994</v>
      </c>
      <c r="I291" s="42">
        <f t="shared" si="13"/>
        <v>4080.0899999999997</v>
      </c>
      <c r="J291" s="42">
        <f t="shared" si="13"/>
        <v>36674.759999999995</v>
      </c>
      <c r="K291" s="42">
        <f t="shared" si="13"/>
        <v>0</v>
      </c>
      <c r="L291" s="41">
        <f t="shared" si="13"/>
        <v>154964.37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44089.460000000006</v>
      </c>
      <c r="G339" s="41">
        <f t="shared" si="20"/>
        <v>9313.02</v>
      </c>
      <c r="H339" s="41">
        <f t="shared" si="20"/>
        <v>60807.039999999994</v>
      </c>
      <c r="I339" s="41">
        <f t="shared" si="20"/>
        <v>4080.0899999999997</v>
      </c>
      <c r="J339" s="41">
        <f t="shared" si="20"/>
        <v>36674.759999999995</v>
      </c>
      <c r="K339" s="41">
        <f t="shared" si="20"/>
        <v>0</v>
      </c>
      <c r="L339" s="41">
        <f t="shared" si="20"/>
        <v>154964.37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3107.51</v>
      </c>
      <c r="L345" s="19">
        <f t="shared" ref="L345:L351" si="21">SUM(F345:K345)</f>
        <v>3107.51</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3107.51</v>
      </c>
      <c r="L352" s="41">
        <f>SUM(L342:L351)</f>
        <v>3107.51</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44089.460000000006</v>
      </c>
      <c r="G353" s="41">
        <f>G339</f>
        <v>9313.02</v>
      </c>
      <c r="H353" s="41">
        <f>H339</f>
        <v>60807.039999999994</v>
      </c>
      <c r="I353" s="41">
        <f>I339</f>
        <v>4080.0899999999997</v>
      </c>
      <c r="J353" s="41">
        <f>J339</f>
        <v>36674.759999999995</v>
      </c>
      <c r="K353" s="47">
        <f>K339+K352</f>
        <v>3107.51</v>
      </c>
      <c r="L353" s="41">
        <f>L339+L352</f>
        <v>158071.88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4573.75</v>
      </c>
      <c r="G359" s="18">
        <v>860.81</v>
      </c>
      <c r="H359" s="18">
        <v>85105.15</v>
      </c>
      <c r="I359" s="18">
        <v>379.94</v>
      </c>
      <c r="J359" s="18">
        <v>300</v>
      </c>
      <c r="K359" s="18"/>
      <c r="L359" s="13">
        <f>SUM(F359:K359)</f>
        <v>91219.65</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7968.03</v>
      </c>
      <c r="L362" s="13">
        <f>SUM(F362:K362)</f>
        <v>7968.03</v>
      </c>
      <c r="M362" s="8"/>
      <c r="N362" s="264"/>
    </row>
    <row r="363" spans="1:22" s="3" customFormat="1" ht="12.2" customHeight="1" thickTop="1" x14ac:dyDescent="0.15">
      <c r="A363" s="46" t="s">
        <v>469</v>
      </c>
      <c r="B363" s="39" t="s">
        <v>366</v>
      </c>
      <c r="C363" s="40">
        <v>5</v>
      </c>
      <c r="D363" s="39" t="s">
        <v>431</v>
      </c>
      <c r="E363" s="40"/>
      <c r="F363" s="47">
        <f t="shared" ref="F363:L363" si="22">SUM(F359:F362)</f>
        <v>4573.75</v>
      </c>
      <c r="G363" s="47">
        <f t="shared" si="22"/>
        <v>860.81</v>
      </c>
      <c r="H363" s="47">
        <f t="shared" si="22"/>
        <v>85105.15</v>
      </c>
      <c r="I363" s="47">
        <f t="shared" si="22"/>
        <v>379.94</v>
      </c>
      <c r="J363" s="47">
        <f t="shared" si="22"/>
        <v>300</v>
      </c>
      <c r="K363" s="47">
        <f t="shared" si="22"/>
        <v>7968.03</v>
      </c>
      <c r="L363" s="47">
        <f t="shared" si="22"/>
        <v>99187.68</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379.94</v>
      </c>
      <c r="G369" s="63"/>
      <c r="H369" s="63"/>
      <c r="I369" s="56">
        <f>SUM(F369:H369)</f>
        <v>379.94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379.94</v>
      </c>
      <c r="G370" s="47">
        <f>SUM(G368:G369)</f>
        <v>0</v>
      </c>
      <c r="H370" s="47">
        <f>SUM(H368:H369)</f>
        <v>0</v>
      </c>
      <c r="I370" s="47">
        <f>SUM(I368:I369)</f>
        <v>379.94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v>52.62</v>
      </c>
      <c r="I393" s="18"/>
      <c r="J393" s="24" t="s">
        <v>288</v>
      </c>
      <c r="K393" s="24" t="s">
        <v>288</v>
      </c>
      <c r="L393" s="56">
        <f t="shared" si="25"/>
        <v>52.62</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52.62</v>
      </c>
      <c r="I394" s="65">
        <f>SUM(I388:I393)</f>
        <v>0</v>
      </c>
      <c r="J394" s="45" t="s">
        <v>288</v>
      </c>
      <c r="K394" s="45" t="s">
        <v>288</v>
      </c>
      <c r="L394" s="47">
        <f>SUM(L388:L393)</f>
        <v>52.62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60000</v>
      </c>
      <c r="H397" s="18">
        <v>33.68</v>
      </c>
      <c r="I397" s="18"/>
      <c r="J397" s="24" t="s">
        <v>288</v>
      </c>
      <c r="K397" s="24" t="s">
        <v>288</v>
      </c>
      <c r="L397" s="56">
        <f t="shared" si="26"/>
        <v>60033.68</v>
      </c>
      <c r="M397" s="8"/>
      <c r="N397" s="264"/>
    </row>
    <row r="398" spans="1:14" s="3" customFormat="1" ht="12.2" customHeight="1" x14ac:dyDescent="0.15">
      <c r="A398" s="79" t="s">
        <v>515</v>
      </c>
      <c r="B398" s="2" t="s">
        <v>381</v>
      </c>
      <c r="C398" s="6">
        <v>10</v>
      </c>
      <c r="D398" s="2" t="s">
        <v>432</v>
      </c>
      <c r="E398" s="6"/>
      <c r="F398" s="18"/>
      <c r="G398" s="18">
        <v>30000</v>
      </c>
      <c r="H398" s="18">
        <v>20.28</v>
      </c>
      <c r="I398" s="18"/>
      <c r="J398" s="24" t="s">
        <v>288</v>
      </c>
      <c r="K398" s="24" t="s">
        <v>288</v>
      </c>
      <c r="L398" s="56">
        <f t="shared" si="26"/>
        <v>30020.28</v>
      </c>
      <c r="M398" s="8"/>
      <c r="N398" s="264"/>
    </row>
    <row r="399" spans="1:14" s="3" customFormat="1" ht="12.2" customHeight="1" x14ac:dyDescent="0.15">
      <c r="A399" s="79" t="s">
        <v>558</v>
      </c>
      <c r="B399" s="2" t="s">
        <v>381</v>
      </c>
      <c r="C399" s="6">
        <v>11</v>
      </c>
      <c r="D399" s="2" t="s">
        <v>432</v>
      </c>
      <c r="E399" s="6"/>
      <c r="F399" s="18"/>
      <c r="G399" s="18"/>
      <c r="H399" s="18">
        <v>45.72</v>
      </c>
      <c r="I399" s="18"/>
      <c r="J399" s="24" t="s">
        <v>288</v>
      </c>
      <c r="K399" s="24" t="s">
        <v>288</v>
      </c>
      <c r="L399" s="56">
        <f t="shared" si="26"/>
        <v>45.72</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90000</v>
      </c>
      <c r="H402" s="47">
        <f>SUM(H396:H401)</f>
        <v>99.68</v>
      </c>
      <c r="I402" s="47">
        <f>SUM(I396:I401)</f>
        <v>0</v>
      </c>
      <c r="J402" s="45" t="s">
        <v>288</v>
      </c>
      <c r="K402" s="45" t="s">
        <v>288</v>
      </c>
      <c r="L402" s="47">
        <f>SUM(L396:L401)</f>
        <v>90099.68</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90000</v>
      </c>
      <c r="H409" s="47">
        <f>H394+H402+H408</f>
        <v>152.30000000000001</v>
      </c>
      <c r="I409" s="47">
        <f>I394+I402+I408</f>
        <v>0</v>
      </c>
      <c r="J409" s="24" t="s">
        <v>288</v>
      </c>
      <c r="K409" s="24" t="s">
        <v>288</v>
      </c>
      <c r="L409" s="47">
        <f>L394+L402+L408</f>
        <v>90152.299999999988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0</v>
      </c>
      <c r="I416" s="18"/>
      <c r="J416" s="18"/>
      <c r="K416" s="18">
        <v>8000</v>
      </c>
      <c r="L416" s="56">
        <f t="shared" si="27"/>
        <v>8000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8000</v>
      </c>
      <c r="L420" s="47">
        <f t="shared" si="28"/>
        <v>8000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8000</v>
      </c>
      <c r="L435" s="47">
        <f t="shared" si="32"/>
        <v>8000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201501.59</v>
      </c>
      <c r="G440" s="18"/>
      <c r="H440" s="18"/>
      <c r="I440" s="56">
        <f t="shared" ref="I440:I446" si="33">SUM(F440:H440)</f>
        <v>201501.59</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201501.59</v>
      </c>
      <c r="G447" s="13">
        <f>SUM(G440:G446)</f>
        <v>0</v>
      </c>
      <c r="H447" s="13">
        <f>SUM(H440:H446)</f>
        <v>0</v>
      </c>
      <c r="I447" s="13">
        <f>SUM(I440:I446)</f>
        <v>201501.59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8000</v>
      </c>
      <c r="G450" s="18"/>
      <c r="H450" s="18"/>
      <c r="I450" s="56">
        <f>SUM(F450:H450)</f>
        <v>8000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8000</v>
      </c>
      <c r="G453" s="72">
        <f>SUM(G449:G452)</f>
        <v>0</v>
      </c>
      <c r="H453" s="72">
        <f>SUM(H449:H452)</f>
        <v>0</v>
      </c>
      <c r="I453" s="72">
        <f>SUM(I449:I452)</f>
        <v>8000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193501.59</v>
      </c>
      <c r="G460" s="18"/>
      <c r="H460" s="18"/>
      <c r="I460" s="56">
        <f t="shared" si="34"/>
        <v>193501.59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193501.59</v>
      </c>
      <c r="G461" s="83">
        <f>SUM(G455:G460)</f>
        <v>0</v>
      </c>
      <c r="H461" s="83">
        <f>SUM(H455:H460)</f>
        <v>0</v>
      </c>
      <c r="I461" s="83">
        <f>SUM(I455:I460)</f>
        <v>193501.59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201501.59</v>
      </c>
      <c r="G462" s="42">
        <f>G453+G461</f>
        <v>0</v>
      </c>
      <c r="H462" s="42">
        <f>H453+H461</f>
        <v>0</v>
      </c>
      <c r="I462" s="42">
        <f>I453+I461</f>
        <v>201501.59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499253.18</v>
      </c>
      <c r="G466" s="18">
        <v>0</v>
      </c>
      <c r="H466" s="18">
        <v>0</v>
      </c>
      <c r="I466" s="18">
        <v>0</v>
      </c>
      <c r="J466" s="18">
        <v>111349.29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3026483.3</v>
      </c>
      <c r="G469" s="18">
        <v>103891.68</v>
      </c>
      <c r="H469" s="18">
        <v>158071.88</v>
      </c>
      <c r="I469" s="18">
        <v>0</v>
      </c>
      <c r="J469" s="18">
        <v>90152.3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3026483.3</v>
      </c>
      <c r="G471" s="53">
        <f>SUM(G469:G470)</f>
        <v>103891.68</v>
      </c>
      <c r="H471" s="53">
        <f>SUM(H469:H470)</f>
        <v>158071.88</v>
      </c>
      <c r="I471" s="53">
        <f>SUM(I469:I470)</f>
        <v>0</v>
      </c>
      <c r="J471" s="53">
        <f>SUM(J469:J470)</f>
        <v>90152.3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3133658.25</v>
      </c>
      <c r="G473" s="18">
        <v>99187.68</v>
      </c>
      <c r="H473" s="18">
        <v>158071.88</v>
      </c>
      <c r="I473" s="18">
        <v>0</v>
      </c>
      <c r="J473" s="18">
        <v>8000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3133658.25</v>
      </c>
      <c r="G475" s="53">
        <f>SUM(G473:G474)</f>
        <v>99187.68</v>
      </c>
      <c r="H475" s="53">
        <f>SUM(H473:H474)</f>
        <v>158071.88</v>
      </c>
      <c r="I475" s="53">
        <f>SUM(I473:I474)</f>
        <v>0</v>
      </c>
      <c r="J475" s="53">
        <f>SUM(J473:J474)</f>
        <v>8000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392078.23</v>
      </c>
      <c r="G477" s="53">
        <f>(G466+G471)- G475</f>
        <v>4704</v>
      </c>
      <c r="H477" s="53">
        <f>(H466+H471)- H475</f>
        <v>0</v>
      </c>
      <c r="I477" s="53">
        <f>(I466+I471)- I475</f>
        <v>0</v>
      </c>
      <c r="J477" s="53">
        <f>(J466+J471)- J475</f>
        <v>193501.59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279804.84999999998</v>
      </c>
      <c r="G522" s="18">
        <v>93716.15</v>
      </c>
      <c r="H522" s="18">
        <v>250884.67</v>
      </c>
      <c r="I522" s="18">
        <v>5630.46</v>
      </c>
      <c r="J522" s="18">
        <v>1943.75</v>
      </c>
      <c r="K522" s="18">
        <v>1544.16</v>
      </c>
      <c r="L522" s="88">
        <f>SUM(F522:K522)</f>
        <v>633524.04</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279804.84999999998</v>
      </c>
      <c r="G525" s="108">
        <f t="shared" ref="G525:L525" si="36">SUM(G522:G524)</f>
        <v>93716.15</v>
      </c>
      <c r="H525" s="108">
        <f t="shared" si="36"/>
        <v>250884.67</v>
      </c>
      <c r="I525" s="108">
        <f t="shared" si="36"/>
        <v>5630.46</v>
      </c>
      <c r="J525" s="108">
        <f t="shared" si="36"/>
        <v>1943.75</v>
      </c>
      <c r="K525" s="108">
        <f t="shared" si="36"/>
        <v>1544.16</v>
      </c>
      <c r="L525" s="89">
        <f t="shared" si="36"/>
        <v>633524.04</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24182.5</v>
      </c>
      <c r="G527" s="18">
        <v>1850.03</v>
      </c>
      <c r="H527" s="18">
        <v>164606.20000000001</v>
      </c>
      <c r="I527" s="18">
        <v>1591.65</v>
      </c>
      <c r="J527" s="18"/>
      <c r="K527" s="18"/>
      <c r="L527" s="88">
        <f>SUM(F527:K527)</f>
        <v>192230.38</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v>15569.36</v>
      </c>
      <c r="I529" s="18"/>
      <c r="J529" s="18"/>
      <c r="K529" s="18"/>
      <c r="L529" s="88">
        <f>SUM(F529:K529)</f>
        <v>15569.36</v>
      </c>
      <c r="M529" s="8"/>
      <c r="N529" s="264"/>
    </row>
    <row r="530" spans="1:14" s="3" customFormat="1" ht="12.2" customHeight="1" thickTop="1" x14ac:dyDescent="0.15">
      <c r="A530" s="139" t="s">
        <v>65</v>
      </c>
      <c r="B530" s="107">
        <v>21</v>
      </c>
      <c r="C530" s="107">
        <v>8</v>
      </c>
      <c r="D530" s="158" t="s">
        <v>432</v>
      </c>
      <c r="E530" s="107"/>
      <c r="F530" s="89">
        <f>SUM(F527:F529)</f>
        <v>24182.5</v>
      </c>
      <c r="G530" s="89">
        <f t="shared" ref="G530:L530" si="37">SUM(G527:G529)</f>
        <v>1850.03</v>
      </c>
      <c r="H530" s="89">
        <f t="shared" si="37"/>
        <v>180175.56</v>
      </c>
      <c r="I530" s="89">
        <f t="shared" si="37"/>
        <v>1591.65</v>
      </c>
      <c r="J530" s="89">
        <f t="shared" si="37"/>
        <v>0</v>
      </c>
      <c r="K530" s="89">
        <f t="shared" si="37"/>
        <v>0</v>
      </c>
      <c r="L530" s="89">
        <f t="shared" si="37"/>
        <v>207799.74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71753.14</v>
      </c>
      <c r="G532" s="18">
        <v>17700.86</v>
      </c>
      <c r="H532" s="18"/>
      <c r="I532" s="18"/>
      <c r="J532" s="18"/>
      <c r="K532" s="18"/>
      <c r="L532" s="88">
        <f>SUM(F532:K532)</f>
        <v>89454</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71753.14</v>
      </c>
      <c r="G535" s="89">
        <f t="shared" ref="G535:L535" si="38">SUM(G532:G534)</f>
        <v>17700.86</v>
      </c>
      <c r="H535" s="89">
        <f t="shared" si="38"/>
        <v>0</v>
      </c>
      <c r="I535" s="89">
        <f t="shared" si="38"/>
        <v>0</v>
      </c>
      <c r="J535" s="89">
        <f t="shared" si="38"/>
        <v>0</v>
      </c>
      <c r="K535" s="89">
        <f t="shared" si="38"/>
        <v>0</v>
      </c>
      <c r="L535" s="89">
        <f t="shared" si="38"/>
        <v>89454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12420</v>
      </c>
      <c r="I542" s="18"/>
      <c r="J542" s="18"/>
      <c r="K542" s="18"/>
      <c r="L542" s="88">
        <f>SUM(F542:K542)</f>
        <v>12420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8000</v>
      </c>
      <c r="I544" s="18"/>
      <c r="J544" s="18"/>
      <c r="K544" s="18"/>
      <c r="L544" s="88">
        <f>SUM(F544:K544)</f>
        <v>8000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20420</v>
      </c>
      <c r="I545" s="193">
        <f t="shared" si="40"/>
        <v>0</v>
      </c>
      <c r="J545" s="193">
        <f t="shared" si="40"/>
        <v>0</v>
      </c>
      <c r="K545" s="193">
        <f t="shared" si="40"/>
        <v>0</v>
      </c>
      <c r="L545" s="193">
        <f t="shared" si="40"/>
        <v>20420</v>
      </c>
      <c r="M545" s="8"/>
      <c r="N545" s="264"/>
    </row>
    <row r="546" spans="1:14" s="3" customFormat="1" ht="12.2" customHeight="1" thickTop="1" x14ac:dyDescent="0.15">
      <c r="A546" s="98" t="s">
        <v>72</v>
      </c>
      <c r="B546" s="107">
        <v>21</v>
      </c>
      <c r="C546" s="107">
        <v>21</v>
      </c>
      <c r="D546" s="158" t="s">
        <v>432</v>
      </c>
      <c r="E546" s="107"/>
      <c r="F546" s="89">
        <f>F525+F530+F535+F540+F545</f>
        <v>375740.49</v>
      </c>
      <c r="G546" s="89">
        <f t="shared" ref="G546:L546" si="41">G525+G530+G535+G540+G545</f>
        <v>113267.04</v>
      </c>
      <c r="H546" s="89">
        <f t="shared" si="41"/>
        <v>451480.23</v>
      </c>
      <c r="I546" s="89">
        <f t="shared" si="41"/>
        <v>7222.1100000000006</v>
      </c>
      <c r="J546" s="89">
        <f t="shared" si="41"/>
        <v>1943.75</v>
      </c>
      <c r="K546" s="89">
        <f t="shared" si="41"/>
        <v>1544.16</v>
      </c>
      <c r="L546" s="89">
        <f t="shared" si="41"/>
        <v>951197.78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633524.04</v>
      </c>
      <c r="G550" s="87">
        <f>L527</f>
        <v>192230.38</v>
      </c>
      <c r="H550" s="87">
        <f>L532</f>
        <v>89454</v>
      </c>
      <c r="I550" s="87">
        <f>L537</f>
        <v>0</v>
      </c>
      <c r="J550" s="87">
        <f>L542</f>
        <v>12420</v>
      </c>
      <c r="K550" s="87">
        <f>SUM(F550:J550)</f>
        <v>927628.42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15569.36</v>
      </c>
      <c r="H552" s="87">
        <f>L534</f>
        <v>0</v>
      </c>
      <c r="I552" s="87">
        <f>L539</f>
        <v>0</v>
      </c>
      <c r="J552" s="87">
        <f>L544</f>
        <v>8000</v>
      </c>
      <c r="K552" s="87">
        <f>SUM(F552:J552)</f>
        <v>23569.360000000001</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633524.04</v>
      </c>
      <c r="G553" s="89">
        <f t="shared" si="42"/>
        <v>207799.74</v>
      </c>
      <c r="H553" s="89">
        <f t="shared" si="42"/>
        <v>89454</v>
      </c>
      <c r="I553" s="89">
        <f t="shared" si="42"/>
        <v>0</v>
      </c>
      <c r="J553" s="89">
        <f t="shared" si="42"/>
        <v>20420</v>
      </c>
      <c r="K553" s="89">
        <f t="shared" si="42"/>
        <v>951197.78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v>672.39</v>
      </c>
      <c r="I568" s="18">
        <v>218.52</v>
      </c>
      <c r="J568" s="18"/>
      <c r="K568" s="18"/>
      <c r="L568" s="88">
        <f>SUM(F568:K568)</f>
        <v>890.91</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672.39</v>
      </c>
      <c r="I571" s="193">
        <f t="shared" si="45"/>
        <v>218.52</v>
      </c>
      <c r="J571" s="193">
        <f t="shared" si="45"/>
        <v>0</v>
      </c>
      <c r="K571" s="193">
        <f t="shared" si="45"/>
        <v>0</v>
      </c>
      <c r="L571" s="193">
        <f t="shared" si="45"/>
        <v>890.91</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672.39</v>
      </c>
      <c r="I572" s="89">
        <f t="shared" si="46"/>
        <v>218.52</v>
      </c>
      <c r="J572" s="89">
        <f t="shared" si="46"/>
        <v>0</v>
      </c>
      <c r="K572" s="89">
        <f t="shared" si="46"/>
        <v>0</v>
      </c>
      <c r="L572" s="89">
        <f t="shared" si="46"/>
        <v>890.91</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385376.2</v>
      </c>
      <c r="I576" s="87">
        <f>SUM(F576:H576)</f>
        <v>385376.2</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11020.38</v>
      </c>
      <c r="G580" s="18"/>
      <c r="H580" s="18"/>
      <c r="I580" s="87">
        <f t="shared" si="47"/>
        <v>11020.38</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111747.61</v>
      </c>
      <c r="G583" s="18"/>
      <c r="H583" s="18">
        <v>174690.31</v>
      </c>
      <c r="I583" s="87">
        <f t="shared" si="47"/>
        <v>286437.92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85750.98</v>
      </c>
      <c r="I592" s="18"/>
      <c r="J592" s="18"/>
      <c r="K592" s="104">
        <f t="shared" ref="K592:K598" si="48">SUM(H592:J592)</f>
        <v>85750.98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12420</v>
      </c>
      <c r="I593" s="18"/>
      <c r="J593" s="18">
        <v>8000</v>
      </c>
      <c r="K593" s="104">
        <f t="shared" si="48"/>
        <v>20420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98170.98</v>
      </c>
      <c r="I599" s="108">
        <f>SUM(I592:I598)</f>
        <v>0</v>
      </c>
      <c r="J599" s="108">
        <f>SUM(J592:J598)</f>
        <v>8000</v>
      </c>
      <c r="K599" s="108">
        <f>SUM(K592:K598)</f>
        <v>106170.98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46454.19</v>
      </c>
      <c r="I605" s="18"/>
      <c r="J605" s="18"/>
      <c r="K605" s="104">
        <f>SUM(H605:J605)</f>
        <v>46454.19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46454.19</v>
      </c>
      <c r="I606" s="108">
        <f>SUM(I603:I605)</f>
        <v>0</v>
      </c>
      <c r="J606" s="108">
        <f>SUM(J603:J605)</f>
        <v>0</v>
      </c>
      <c r="K606" s="108">
        <f>SUM(K603:K605)</f>
        <v>46454.19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2760</v>
      </c>
      <c r="G612" s="18">
        <v>665.29</v>
      </c>
      <c r="H612" s="18"/>
      <c r="I612" s="18"/>
      <c r="J612" s="18"/>
      <c r="K612" s="18"/>
      <c r="L612" s="88">
        <f>SUM(F612:K612)</f>
        <v>3425.29</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2760</v>
      </c>
      <c r="G615" s="108">
        <f t="shared" si="49"/>
        <v>665.29</v>
      </c>
      <c r="H615" s="108">
        <f t="shared" si="49"/>
        <v>0</v>
      </c>
      <c r="I615" s="108">
        <f t="shared" si="49"/>
        <v>0</v>
      </c>
      <c r="J615" s="108">
        <f t="shared" si="49"/>
        <v>0</v>
      </c>
      <c r="K615" s="108">
        <f t="shared" si="49"/>
        <v>0</v>
      </c>
      <c r="L615" s="89">
        <f t="shared" si="49"/>
        <v>3425.29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489551.81000000006</v>
      </c>
      <c r="H618" s="109">
        <f>SUM(F52)</f>
        <v>489551.81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29463.46</v>
      </c>
      <c r="H619" s="109">
        <f>SUM(G52)</f>
        <v>29463.46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357.5</v>
      </c>
      <c r="H620" s="109">
        <f>SUM(H52)</f>
        <v>357.5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201501.59</v>
      </c>
      <c r="H622" s="109">
        <f>SUM(J52)</f>
        <v>201501.59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392078.23</v>
      </c>
      <c r="H623" s="109">
        <f>F477</f>
        <v>392078.23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4704</v>
      </c>
      <c r="H624" s="109">
        <f>G477</f>
        <v>4704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193501.59</v>
      </c>
      <c r="H627" s="109">
        <f>J477</f>
        <v>193501.59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3026483.3000000003</v>
      </c>
      <c r="H628" s="104">
        <f>SUM(F469)</f>
        <v>3026483.3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103891.68000000001</v>
      </c>
      <c r="H629" s="104">
        <f>SUM(G469)</f>
        <v>103891.68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158071.88</v>
      </c>
      <c r="H630" s="104">
        <f>SUM(H469)</f>
        <v>158071.88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90152.3</v>
      </c>
      <c r="H632" s="104">
        <f>SUM(J469)</f>
        <v>90152.3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3133658.25</v>
      </c>
      <c r="H633" s="104">
        <f>SUM(F473)</f>
        <v>3133658.25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158071.88</v>
      </c>
      <c r="H634" s="104">
        <f>SUM(H473)</f>
        <v>158071.88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379.94</v>
      </c>
      <c r="H635" s="104">
        <f>I370</f>
        <v>379.94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99187.68</v>
      </c>
      <c r="H636" s="104">
        <f>SUM(G473)</f>
        <v>99187.68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90152.299999999988</v>
      </c>
      <c r="H638" s="164">
        <f>SUM(J469)</f>
        <v>90152.3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8000</v>
      </c>
      <c r="H639" s="164">
        <f>SUM(J473)</f>
        <v>8000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201501.59</v>
      </c>
      <c r="H640" s="104">
        <f>SUM(F462)</f>
        <v>201501.59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201501.59</v>
      </c>
      <c r="H643" s="104">
        <f>SUM(I462)</f>
        <v>201501.59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152.30000000000001</v>
      </c>
      <c r="H645" s="104">
        <f>H409</f>
        <v>152.30000000000001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90000</v>
      </c>
      <c r="H646" s="104">
        <f>G409</f>
        <v>90000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90152.3</v>
      </c>
      <c r="H647" s="104">
        <f>L409</f>
        <v>90152.299999999988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106170.98</v>
      </c>
      <c r="H648" s="104">
        <f>L209+L227+L245</f>
        <v>106170.98000000001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46454.19</v>
      </c>
      <c r="H649" s="104">
        <f>(J258+J339)-(J256+J337)</f>
        <v>46454.189999999995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98170.98000000001</v>
      </c>
      <c r="H650" s="104">
        <f>H599</f>
        <v>98170.98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8000</v>
      </c>
      <c r="H652" s="104">
        <f>J599</f>
        <v>8000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21492</v>
      </c>
      <c r="H653" s="104">
        <f>K264+K346</f>
        <v>21492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90000</v>
      </c>
      <c r="H656" s="104">
        <f>K267+K348</f>
        <v>90000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2586494.4</v>
      </c>
      <c r="G661" s="19">
        <f>(L230+L310+L360)</f>
        <v>0</v>
      </c>
      <c r="H661" s="19">
        <f>(L248+L329+L361)</f>
        <v>583635.87</v>
      </c>
      <c r="I661" s="19">
        <f>SUM(F661:H661)</f>
        <v>3170130.27</v>
      </c>
      <c r="J661" s="13"/>
      <c r="K661" s="13"/>
      <c r="L661" s="13"/>
      <c r="M661" s="9"/>
    </row>
    <row r="662" spans="1:13" s="3" customFormat="1" ht="12.2" customHeight="1" x14ac:dyDescent="0.2">
      <c r="A662" s="1" t="s">
        <v>127</v>
      </c>
      <c r="F662" s="19">
        <f>(L359/IF(SUM(L359:L361)=0,1,SUM(L359:L361))*(SUM(G97:G110)))</f>
        <v>17754.580000000002</v>
      </c>
      <c r="G662" s="19">
        <f>(L360/IF(SUM(L359:L361)=0,1,SUM(L359:L361))*(SUM(G97:G110)))</f>
        <v>0</v>
      </c>
      <c r="H662" s="19">
        <f>(L361/IF(SUM(L359:L361)=0,1,SUM(L359:L361))*(SUM(G97:G110)))</f>
        <v>0</v>
      </c>
      <c r="I662" s="19">
        <f>SUM(F662:H662)</f>
        <v>17754.580000000002</v>
      </c>
      <c r="J662"/>
      <c r="K662" s="13"/>
      <c r="L662" s="13"/>
      <c r="M662" s="8"/>
    </row>
    <row r="663" spans="1:13" s="3" customFormat="1" ht="12.2" customHeight="1" x14ac:dyDescent="0.2">
      <c r="A663" s="1" t="s">
        <v>128</v>
      </c>
      <c r="F663" s="19">
        <f>(L209+L288)-(J209+J288)</f>
        <v>98170.98000000001</v>
      </c>
      <c r="G663" s="19">
        <f>(L227+L307)-(J227+J307)</f>
        <v>0</v>
      </c>
      <c r="H663" s="19">
        <f>(L245+L326)-(J245+J326)</f>
        <v>8000</v>
      </c>
      <c r="I663" s="19">
        <f>SUM(F663:H663)</f>
        <v>106170.98000000001</v>
      </c>
      <c r="J663"/>
      <c r="K663" s="13"/>
      <c r="L663" s="13"/>
      <c r="M663" s="9"/>
    </row>
    <row r="664" spans="1:13" s="3" customFormat="1" ht="12.2" customHeight="1" x14ac:dyDescent="0.15">
      <c r="A664" s="198" t="s">
        <v>129</v>
      </c>
      <c r="B664" s="169"/>
      <c r="C664" s="169"/>
      <c r="D664" s="169"/>
      <c r="E664" s="169"/>
      <c r="F664" s="199">
        <f>SUM(F576:F588)+SUM(H603:H605)+SUM(L612)</f>
        <v>172647.47</v>
      </c>
      <c r="G664" s="199">
        <f>SUM(G576:G588)+SUM(I603:I605)+L613</f>
        <v>0</v>
      </c>
      <c r="H664" s="199">
        <f>SUM(H576:H588)+SUM(J603:J605)+L614</f>
        <v>560066.51</v>
      </c>
      <c r="I664" s="19">
        <f>SUM(F664:H664)</f>
        <v>732713.98</v>
      </c>
      <c r="J664" s="13"/>
      <c r="K664" s="13"/>
      <c r="L664" s="13"/>
      <c r="M664" s="9"/>
    </row>
    <row r="665" spans="1:13" s="3" customFormat="1" ht="12.2" customHeight="1" x14ac:dyDescent="0.15">
      <c r="A665" s="1" t="s">
        <v>130</v>
      </c>
      <c r="F665" s="19">
        <f>F661-SUM(F662:F664)</f>
        <v>2297921.37</v>
      </c>
      <c r="G665" s="19">
        <f>G661-SUM(G662:G664)</f>
        <v>0</v>
      </c>
      <c r="H665" s="19">
        <f>H661-SUM(H662:H664)</f>
        <v>15569.359999999986</v>
      </c>
      <c r="I665" s="19">
        <f>I661-SUM(I662:I664)</f>
        <v>2313490.73</v>
      </c>
      <c r="J665" s="13"/>
      <c r="K665" s="13"/>
      <c r="L665" s="13"/>
      <c r="M665" s="8"/>
    </row>
    <row r="666" spans="1:13" s="3" customFormat="1" ht="12.2" customHeight="1" x14ac:dyDescent="0.25">
      <c r="A666" s="1" t="s">
        <v>131</v>
      </c>
      <c r="F666" s="391">
        <v>108.63</v>
      </c>
      <c r="G666" s="391">
        <v>0</v>
      </c>
      <c r="H666" s="391">
        <v>0</v>
      </c>
      <c r="I666" s="19">
        <f>SUM(F666:H666)</f>
        <v>108.63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21153.65</v>
      </c>
      <c r="G668" s="19" t="e">
        <f>ROUND(G665/G666,2)</f>
        <v>#DIV/0!</v>
      </c>
      <c r="H668" s="19" t="e">
        <f>ROUND(H665/H666,2)</f>
        <v>#DIV/0!</v>
      </c>
      <c r="I668" s="19">
        <f>ROUND(I665/I666,2)</f>
        <v>21296.98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-15569.36</v>
      </c>
      <c r="I670" s="19">
        <f>SUM(F670:H670)</f>
        <v>-15569.36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21153.65</v>
      </c>
      <c r="G673" s="19" t="e">
        <f>ROUND((G665+G670)/(G666+G671),2)</f>
        <v>#DIV/0!</v>
      </c>
      <c r="H673" s="19" t="e">
        <f>ROUND((H665+H670)/(H666+H671),2)</f>
        <v>#DIV/0!</v>
      </c>
      <c r="I673" s="19">
        <f>ROUND((I665+I670)/(I666+I671),2)</f>
        <v>21153.65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4" sqref="E24"/>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19238.32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73408.25</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56542</v>
      </c>
      <c r="F22" s="346"/>
    </row>
    <row r="23" spans="2:8" x14ac:dyDescent="0.25">
      <c r="B23" s="346"/>
      <c r="C23" s="346"/>
      <c r="D23" s="346"/>
      <c r="E23" s="346"/>
      <c r="F23" s="346"/>
    </row>
    <row r="24" spans="2:8" ht="26.25" customHeight="1" x14ac:dyDescent="0.25">
      <c r="B24" s="346"/>
      <c r="C24" s="348" t="s">
        <v>1661</v>
      </c>
      <c r="D24" s="346"/>
      <c r="E24" s="341">
        <v>50055.67</v>
      </c>
      <c r="F24" s="346"/>
    </row>
    <row r="25" spans="2:8" ht="18" x14ac:dyDescent="0.25">
      <c r="B25" s="346"/>
      <c r="C25" s="349"/>
      <c r="D25" s="346"/>
      <c r="E25" s="346"/>
      <c r="F25" s="346"/>
    </row>
    <row r="26" spans="2:8" ht="27.75" customHeight="1" x14ac:dyDescent="0.25">
      <c r="B26" s="346"/>
      <c r="C26" s="348" t="s">
        <v>1662</v>
      </c>
      <c r="D26" s="346"/>
      <c r="E26" s="341">
        <v>6486.56</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36104.339999999997</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1674</v>
      </c>
      <c r="C3" s="320"/>
      <c r="D3" s="320"/>
      <c r="E3" s="320"/>
      <c r="F3" s="320"/>
      <c r="G3" s="320"/>
      <c r="H3" s="320"/>
      <c r="I3" t="s">
        <v>1621</v>
      </c>
    </row>
    <row r="4" spans="1:9" x14ac:dyDescent="0.2">
      <c r="I4" t="s">
        <v>1622</v>
      </c>
    </row>
    <row r="5" spans="1:9" ht="15.75" x14ac:dyDescent="0.25">
      <c r="A5" s="316" t="s">
        <v>908</v>
      </c>
      <c r="B5" s="361" t="str">
        <f>'DOE25'!A2</f>
        <v>LEMPSTER SCHOOL DISTRICT</v>
      </c>
      <c r="C5" s="362"/>
      <c r="D5" s="362"/>
      <c r="E5" s="362"/>
      <c r="F5" s="362"/>
    </row>
    <row r="8" spans="1:9" ht="18" x14ac:dyDescent="0.25">
      <c r="A8" s="317" t="s">
        <v>1576</v>
      </c>
      <c r="F8" s="324" t="s">
        <v>1594</v>
      </c>
    </row>
    <row r="9" spans="1:9" ht="15" x14ac:dyDescent="0.2">
      <c r="A9" s="315" t="s">
        <v>1577</v>
      </c>
      <c r="B9" s="318">
        <f>'DOE25'!G97</f>
        <v>3123.58</v>
      </c>
      <c r="F9" s="315" t="s">
        <v>1590</v>
      </c>
    </row>
    <row r="10" spans="1:9" ht="15" x14ac:dyDescent="0.2">
      <c r="A10" s="315" t="s">
        <v>1578</v>
      </c>
      <c r="B10" s="318">
        <f>'DOE25'!G112-'DOE25'!G97</f>
        <v>14631.000000000002</v>
      </c>
      <c r="F10" s="315" t="s">
        <v>1591</v>
      </c>
    </row>
    <row r="11" spans="1:9" ht="15" x14ac:dyDescent="0.2">
      <c r="A11" s="315" t="s">
        <v>1579</v>
      </c>
      <c r="B11" s="318">
        <f>'DOE25'!G140</f>
        <v>894.48</v>
      </c>
      <c r="F11" s="315" t="s">
        <v>1592</v>
      </c>
    </row>
    <row r="12" spans="1:9" ht="15" x14ac:dyDescent="0.2">
      <c r="A12" s="315" t="s">
        <v>1580</v>
      </c>
      <c r="B12" s="318">
        <f>'DOE25'!G170</f>
        <v>63750.62</v>
      </c>
      <c r="F12" s="315" t="s">
        <v>1593</v>
      </c>
    </row>
    <row r="13" spans="1:9" ht="15" x14ac:dyDescent="0.2">
      <c r="A13" s="315" t="s">
        <v>1581</v>
      </c>
      <c r="B13" s="318">
        <f>'DOE25'!G193-'DOE25'!G180</f>
        <v>0</v>
      </c>
      <c r="F13" s="315" t="s">
        <v>1603</v>
      </c>
    </row>
    <row r="14" spans="1:9" ht="18" x14ac:dyDescent="0.25">
      <c r="A14" s="317" t="s">
        <v>732</v>
      </c>
      <c r="B14" s="319">
        <f>SUM(B9:B13)</f>
        <v>82399.680000000008</v>
      </c>
    </row>
    <row r="16" spans="1:9" ht="18" x14ac:dyDescent="0.25">
      <c r="A16" s="317" t="s">
        <v>786</v>
      </c>
      <c r="F16" s="324" t="s">
        <v>1595</v>
      </c>
    </row>
    <row r="17" spans="1:6" ht="15" x14ac:dyDescent="0.2">
      <c r="A17" s="315" t="s">
        <v>1582</v>
      </c>
      <c r="B17" s="318">
        <f>'DOE25'!L363-'DOE25'!L362</f>
        <v>91219.65</v>
      </c>
      <c r="F17" s="315" t="s">
        <v>1596</v>
      </c>
    </row>
    <row r="18" spans="1:6" ht="15" x14ac:dyDescent="0.2">
      <c r="A18" s="315" t="s">
        <v>1583</v>
      </c>
      <c r="B18" s="328">
        <v>-8819.9699999999993</v>
      </c>
      <c r="F18" s="324" t="s">
        <v>1620</v>
      </c>
    </row>
    <row r="19" spans="1:6" ht="18" x14ac:dyDescent="0.25">
      <c r="A19" s="317" t="s">
        <v>725</v>
      </c>
      <c r="B19" s="319">
        <f>SUM(B17:B18)</f>
        <v>82399.679999999993</v>
      </c>
    </row>
    <row r="21" spans="1:6" ht="18.75" thickBot="1" x14ac:dyDescent="0.3">
      <c r="A21" s="317" t="s">
        <v>1584</v>
      </c>
    </row>
    <row r="22" spans="1:6" ht="18.75" thickTop="1" x14ac:dyDescent="0.25">
      <c r="A22" s="317" t="s">
        <v>1585</v>
      </c>
      <c r="B22" s="323">
        <f>B14-B19</f>
        <v>0</v>
      </c>
      <c r="F22" s="315" t="s">
        <v>1597</v>
      </c>
    </row>
    <row r="26" spans="1:6" ht="18" x14ac:dyDescent="0.25">
      <c r="A26" s="317" t="s">
        <v>186</v>
      </c>
    </row>
    <row r="27" spans="1:6" ht="15" x14ac:dyDescent="0.2">
      <c r="A27" s="315" t="s">
        <v>1586</v>
      </c>
      <c r="B27" s="318">
        <f>'DOE25'!G180</f>
        <v>21492</v>
      </c>
      <c r="F27" s="315" t="s">
        <v>1598</v>
      </c>
    </row>
    <row r="28" spans="1:6" ht="15" x14ac:dyDescent="0.2">
      <c r="A28" s="315" t="s">
        <v>1588</v>
      </c>
      <c r="B28" s="318">
        <f>'DOE25'!L362</f>
        <v>7968.03</v>
      </c>
      <c r="F28" s="315" t="s">
        <v>1599</v>
      </c>
    </row>
    <row r="31" spans="1:6" ht="15" x14ac:dyDescent="0.2">
      <c r="A31" s="315" t="s">
        <v>1628</v>
      </c>
      <c r="B31" s="318">
        <f>'DOE25'!G466</f>
        <v>0</v>
      </c>
      <c r="F31" s="315" t="s">
        <v>1600</v>
      </c>
    </row>
    <row r="33" spans="1:6" ht="15" x14ac:dyDescent="0.2">
      <c r="A33" s="315" t="s">
        <v>1629</v>
      </c>
      <c r="B33" s="318">
        <f>'DOE25'!G477</f>
        <v>4704</v>
      </c>
      <c r="F33" s="315" t="s">
        <v>1601</v>
      </c>
    </row>
    <row r="36" spans="1:6" ht="15" x14ac:dyDescent="0.2">
      <c r="A36" s="315" t="s">
        <v>1587</v>
      </c>
      <c r="B36" s="329">
        <v>1900</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LEMPSTER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427480.15</v>
      </c>
      <c r="C9" s="229">
        <f>'DOE25'!G198+'DOE25'!G216+'DOE25'!G234+'DOE25'!G277+'DOE25'!G296+'DOE25'!G315</f>
        <v>214826.67</v>
      </c>
    </row>
    <row r="10" spans="1:3" x14ac:dyDescent="0.2">
      <c r="A10" t="s">
        <v>775</v>
      </c>
      <c r="B10" s="240">
        <v>399385.16</v>
      </c>
      <c r="C10" s="240">
        <v>212677.4</v>
      </c>
    </row>
    <row r="11" spans="1:3" x14ac:dyDescent="0.2">
      <c r="A11" t="s">
        <v>776</v>
      </c>
      <c r="B11" s="240"/>
      <c r="C11" s="240"/>
    </row>
    <row r="12" spans="1:3" x14ac:dyDescent="0.2">
      <c r="A12" t="s">
        <v>777</v>
      </c>
      <c r="B12" s="240">
        <v>28094.99</v>
      </c>
      <c r="C12" s="240">
        <v>2149.27</v>
      </c>
    </row>
    <row r="13" spans="1:3" x14ac:dyDescent="0.2">
      <c r="A13" t="str">
        <f>IF(B9=B13,IF(C9=C13,"Check Total OK","Check Total Error"),"Check Total Error")</f>
        <v>Check Total OK</v>
      </c>
      <c r="B13" s="231">
        <f>SUM(B10:B12)</f>
        <v>427480.14999999997</v>
      </c>
      <c r="C13" s="231">
        <f>SUM(C10:C12)</f>
        <v>214826.66999999998</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303853.40999999997</v>
      </c>
      <c r="C18" s="229">
        <f>'DOE25'!G199+'DOE25'!G217+'DOE25'!G235+'DOE25'!G278+'DOE25'!G297+'DOE25'!G316</f>
        <v>98745.3</v>
      </c>
    </row>
    <row r="19" spans="1:3" x14ac:dyDescent="0.2">
      <c r="A19" t="s">
        <v>775</v>
      </c>
      <c r="B19" s="240">
        <v>103762.46</v>
      </c>
      <c r="C19" s="240">
        <v>57132.14</v>
      </c>
    </row>
    <row r="20" spans="1:3" x14ac:dyDescent="0.2">
      <c r="A20" t="s">
        <v>776</v>
      </c>
      <c r="B20" s="240">
        <v>198830.95</v>
      </c>
      <c r="C20" s="240">
        <v>41514.639999999999</v>
      </c>
    </row>
    <row r="21" spans="1:3" x14ac:dyDescent="0.2">
      <c r="A21" t="s">
        <v>777</v>
      </c>
      <c r="B21" s="240">
        <v>1260</v>
      </c>
      <c r="C21" s="240">
        <v>98.52</v>
      </c>
    </row>
    <row r="22" spans="1:3" x14ac:dyDescent="0.2">
      <c r="A22" t="str">
        <f>IF(B18=B22,IF(C18=C22,"Check Total OK","Check Total Error"),"Check Total Error")</f>
        <v>Check Total OK</v>
      </c>
      <c r="B22" s="231">
        <f>SUM(B19:B21)</f>
        <v>303853.41000000003</v>
      </c>
      <c r="C22" s="231">
        <f>SUM(C19:C21)</f>
        <v>98745.3</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13644.52</v>
      </c>
      <c r="C36" s="235">
        <f>'DOE25'!G201+'DOE25'!G219+'DOE25'!G237+'DOE25'!G280+'DOE25'!G299+'DOE25'!G318</f>
        <v>2776.8</v>
      </c>
    </row>
    <row r="37" spans="1:3" x14ac:dyDescent="0.2">
      <c r="A37" t="s">
        <v>775</v>
      </c>
      <c r="B37" s="240">
        <v>3762.5</v>
      </c>
      <c r="C37" s="240">
        <v>1276.3499999999999</v>
      </c>
    </row>
    <row r="38" spans="1:3" x14ac:dyDescent="0.2">
      <c r="A38" t="s">
        <v>776</v>
      </c>
      <c r="B38" s="240">
        <v>9882.02</v>
      </c>
      <c r="C38" s="240">
        <v>1500.45</v>
      </c>
    </row>
    <row r="39" spans="1:3" x14ac:dyDescent="0.2">
      <c r="A39" t="s">
        <v>777</v>
      </c>
      <c r="B39" s="240"/>
      <c r="C39" s="240"/>
    </row>
    <row r="40" spans="1:3" x14ac:dyDescent="0.2">
      <c r="A40" t="str">
        <f>IF(B36=B40,IF(C36=C40,"Check Total OK","Check Total Error"),"Check Total Error")</f>
        <v>Check Total OK</v>
      </c>
      <c r="B40" s="231">
        <f>SUM(B37:B39)</f>
        <v>13644.52</v>
      </c>
      <c r="C40" s="231">
        <f>SUM(C37:C39)</f>
        <v>2776.8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LEMPSTER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1716135.12</v>
      </c>
      <c r="D5" s="20">
        <f>SUM('DOE25'!L198:L201)+SUM('DOE25'!L216:L219)+SUM('DOE25'!L234:L237)-F5-G5-H5</f>
        <v>1715506.06</v>
      </c>
      <c r="E5" s="243"/>
      <c r="F5" s="244"/>
      <c r="G5" s="53">
        <f>SUM('DOE25'!J198:J201)+SUM('DOE25'!J216:J219)+SUM('DOE25'!J234:J237)</f>
        <v>629.05999999999995</v>
      </c>
      <c r="H5" s="53">
        <f>SUM('DOE25'!K198:K201)+SUM('DOE25'!K216:K219)+SUM('DOE25'!K234:K237)</f>
        <v>0</v>
      </c>
      <c r="I5" s="254"/>
    </row>
    <row r="6" spans="1:9" x14ac:dyDescent="0.2">
      <c r="A6" s="32">
        <v>2100</v>
      </c>
      <c r="B6" t="s">
        <v>796</v>
      </c>
      <c r="C6" s="273">
        <f t="shared" si="0"/>
        <v>264381.32</v>
      </c>
      <c r="D6" s="20">
        <f>'DOE25'!L203+'DOE25'!L221+'DOE25'!L239-F6-G6-H6</f>
        <v>115802.62</v>
      </c>
      <c r="E6" s="243"/>
      <c r="F6" s="244">
        <v>148398.70000000001</v>
      </c>
      <c r="G6" s="53">
        <f>'DOE25'!J203+'DOE25'!J221+'DOE25'!J239</f>
        <v>0</v>
      </c>
      <c r="H6" s="53">
        <f>'DOE25'!K203+'DOE25'!K221+'DOE25'!K239</f>
        <v>180</v>
      </c>
      <c r="I6" s="254"/>
    </row>
    <row r="7" spans="1:9" x14ac:dyDescent="0.2">
      <c r="A7" s="32">
        <v>2200</v>
      </c>
      <c r="B7" t="s">
        <v>821</v>
      </c>
      <c r="C7" s="273">
        <f t="shared" si="0"/>
        <v>125906.94999999998</v>
      </c>
      <c r="D7" s="20">
        <f>'DOE25'!L204+'DOE25'!L222+'DOE25'!L240-F7-G7-H7</f>
        <v>121365.18999999999</v>
      </c>
      <c r="E7" s="243"/>
      <c r="F7" s="244"/>
      <c r="G7" s="53">
        <f>'DOE25'!J204+'DOE25'!J222+'DOE25'!J240</f>
        <v>4541.76</v>
      </c>
      <c r="H7" s="53">
        <f>'DOE25'!K204+'DOE25'!K222+'DOE25'!K240</f>
        <v>0</v>
      </c>
      <c r="I7" s="254"/>
    </row>
    <row r="8" spans="1:9" x14ac:dyDescent="0.2">
      <c r="A8" s="32">
        <v>2300</v>
      </c>
      <c r="B8" t="s">
        <v>797</v>
      </c>
      <c r="C8" s="273">
        <f t="shared" si="0"/>
        <v>156183.43</v>
      </c>
      <c r="D8" s="243"/>
      <c r="E8" s="20">
        <f>'DOE25'!L205+'DOE25'!L223+'DOE25'!L241-F8-G8-H8-D9-D11</f>
        <v>149346.28999999998</v>
      </c>
      <c r="F8" s="244"/>
      <c r="G8" s="53">
        <f>'DOE25'!J205+'DOE25'!J223+'DOE25'!J241</f>
        <v>549.97</v>
      </c>
      <c r="H8" s="53">
        <f>'DOE25'!K205+'DOE25'!K223+'DOE25'!K241</f>
        <v>6287.17</v>
      </c>
      <c r="I8" s="254"/>
    </row>
    <row r="9" spans="1:9" ht="14.25" x14ac:dyDescent="0.2">
      <c r="A9" s="32">
        <v>2310</v>
      </c>
      <c r="B9" s="185" t="s">
        <v>888</v>
      </c>
      <c r="C9" s="273">
        <f t="shared" si="0"/>
        <v>14834.94</v>
      </c>
      <c r="D9" s="244">
        <v>14834.94</v>
      </c>
      <c r="E9" s="243"/>
      <c r="F9" s="251"/>
      <c r="G9" s="251"/>
      <c r="H9" s="251"/>
      <c r="I9" s="254"/>
    </row>
    <row r="10" spans="1:9" ht="14.25" x14ac:dyDescent="0.2">
      <c r="A10" s="32">
        <v>2317</v>
      </c>
      <c r="B10" s="185" t="s">
        <v>889</v>
      </c>
      <c r="C10" s="273">
        <f t="shared" si="0"/>
        <v>7950</v>
      </c>
      <c r="D10" s="243"/>
      <c r="E10" s="244">
        <v>7950</v>
      </c>
      <c r="F10" s="251"/>
      <c r="G10" s="251"/>
      <c r="H10" s="251"/>
      <c r="I10" s="254"/>
    </row>
    <row r="11" spans="1:9" ht="14.25" x14ac:dyDescent="0.2">
      <c r="A11" s="32">
        <v>2321</v>
      </c>
      <c r="B11" s="185" t="s">
        <v>890</v>
      </c>
      <c r="C11" s="273">
        <f t="shared" si="0"/>
        <v>50180.01</v>
      </c>
      <c r="D11" s="244">
        <v>50180.01</v>
      </c>
      <c r="E11" s="243"/>
      <c r="F11" s="251"/>
      <c r="G11" s="251"/>
      <c r="H11" s="251"/>
      <c r="I11" s="254"/>
    </row>
    <row r="12" spans="1:9" x14ac:dyDescent="0.2">
      <c r="A12" s="32">
        <v>2400</v>
      </c>
      <c r="B12" t="s">
        <v>711</v>
      </c>
      <c r="C12" s="273">
        <f t="shared" si="0"/>
        <v>216246.49999999997</v>
      </c>
      <c r="D12" s="20">
        <f>'DOE25'!L206+'DOE25'!L224+'DOE25'!L242-F12-G12-H12</f>
        <v>215140.56999999998</v>
      </c>
      <c r="E12" s="243"/>
      <c r="F12" s="244"/>
      <c r="G12" s="53">
        <f>'DOE25'!J206+'DOE25'!J224+'DOE25'!J242</f>
        <v>310.93</v>
      </c>
      <c r="H12" s="53">
        <f>'DOE25'!K206+'DOE25'!K224+'DOE25'!K242</f>
        <v>795</v>
      </c>
      <c r="I12" s="254"/>
    </row>
    <row r="13" spans="1:9" x14ac:dyDescent="0.2">
      <c r="A13" s="32">
        <v>2500</v>
      </c>
      <c r="B13" t="s">
        <v>798</v>
      </c>
      <c r="C13" s="273">
        <f t="shared" si="0"/>
        <v>57348.25</v>
      </c>
      <c r="D13" s="243"/>
      <c r="E13" s="20">
        <f>'DOE25'!L207+'DOE25'!L225+'DOE25'!L243-F13-G13-H13</f>
        <v>57348.25</v>
      </c>
      <c r="F13" s="244"/>
      <c r="G13" s="53">
        <f>'DOE25'!J207+'DOE25'!J225+'DOE25'!J243</f>
        <v>0</v>
      </c>
      <c r="H13" s="53">
        <f>'DOE25'!K207+'DOE25'!K225+'DOE25'!K243</f>
        <v>0</v>
      </c>
      <c r="I13" s="254"/>
    </row>
    <row r="14" spans="1:9" x14ac:dyDescent="0.2">
      <c r="A14" s="32">
        <v>2600</v>
      </c>
      <c r="B14" t="s">
        <v>819</v>
      </c>
      <c r="C14" s="273">
        <f t="shared" si="0"/>
        <v>216558.74999999997</v>
      </c>
      <c r="D14" s="20">
        <f>'DOE25'!L208+'DOE25'!L226+'DOE25'!L244-F14-G14-H14</f>
        <v>212811.03999999998</v>
      </c>
      <c r="E14" s="243"/>
      <c r="F14" s="244"/>
      <c r="G14" s="53">
        <f>'DOE25'!J208+'DOE25'!J226+'DOE25'!J244</f>
        <v>3747.71</v>
      </c>
      <c r="H14" s="53">
        <f>'DOE25'!K208+'DOE25'!K226+'DOE25'!K244</f>
        <v>0</v>
      </c>
      <c r="I14" s="254"/>
    </row>
    <row r="15" spans="1:9" x14ac:dyDescent="0.2">
      <c r="A15" s="32">
        <v>2700</v>
      </c>
      <c r="B15" t="s">
        <v>799</v>
      </c>
      <c r="C15" s="273">
        <f t="shared" si="0"/>
        <v>106170.98000000001</v>
      </c>
      <c r="D15" s="20">
        <f>'DOE25'!L209+'DOE25'!L227+'DOE25'!L245-F15-G15-H15</f>
        <v>96170.98000000001</v>
      </c>
      <c r="E15" s="243"/>
      <c r="F15" s="244">
        <v>10000</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98220</v>
      </c>
      <c r="D22" s="243"/>
      <c r="E22" s="243"/>
      <c r="F22" s="243"/>
      <c r="G22" s="53">
        <f>'DOE25'!L256+'DOE25'!L337</f>
        <v>98220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91219.65</v>
      </c>
      <c r="D29" s="281">
        <f>'DOE25'!L359+'DOE25'!L360+'DOE25'!L361-'DOE25'!I368-F29-G29-H29</f>
        <v>31596.649999999994</v>
      </c>
      <c r="E29" s="243"/>
      <c r="F29" s="244">
        <v>59323</v>
      </c>
      <c r="G29" s="53">
        <f>'DOE25'!J359+'DOE25'!J360+'DOE25'!J361</f>
        <v>300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154964.37</v>
      </c>
      <c r="D31" s="20">
        <f>'DOE25'!L291+'DOE25'!L310+'DOE25'!L329+'DOE25'!L334+'DOE25'!L335+'DOE25'!L336-F31-G31-H31</f>
        <v>118289.61</v>
      </c>
      <c r="E31" s="243"/>
      <c r="F31" s="244"/>
      <c r="G31" s="53">
        <f>'DOE25'!J291+'DOE25'!J310+'DOE25'!J329+'DOE25'!J334+'DOE25'!J335+'DOE25'!J336</f>
        <v>36674.759999999995</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2691697.67</v>
      </c>
      <c r="E33" s="245">
        <f t="shared" si="1"/>
        <v>214644.53999999998</v>
      </c>
      <c r="F33" s="245">
        <f t="shared" si="1"/>
        <v>217721.7</v>
      </c>
      <c r="G33" s="245">
        <f t="shared" si="1"/>
        <v>144974.19</v>
      </c>
      <c r="H33" s="245">
        <f t="shared" si="1"/>
        <v>7262.17</v>
      </c>
      <c r="I33" s="245">
        <f t="shared" si="1"/>
        <v>0</v>
      </c>
    </row>
    <row r="35" spans="1:9" ht="12" thickBot="1" x14ac:dyDescent="0.25">
      <c r="B35" s="249" t="s">
        <v>831</v>
      </c>
      <c r="D35" s="250">
        <f>E33</f>
        <v>214644.53999999998</v>
      </c>
      <c r="E35" s="246"/>
      <c r="F35" s="333" t="s">
        <v>1632</v>
      </c>
      <c r="G35" s="334"/>
      <c r="H35" s="334"/>
      <c r="I35" s="334"/>
    </row>
    <row r="36" spans="1:9" ht="12" thickTop="1" x14ac:dyDescent="0.2">
      <c r="B36" t="s">
        <v>810</v>
      </c>
      <c r="D36" s="20">
        <f>D33</f>
        <v>2691697.67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LEMPSTER SCHOOL DISTRICT</v>
      </c>
      <c r="B2" s="126">
        <f>'DOE25'!B2</f>
        <v>299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2495274.7500000005</v>
      </c>
      <c r="G4" s="300">
        <f>'DOE25'!L212+'DOE25'!L291</f>
        <v>2495274.75</v>
      </c>
      <c r="H4" s="353">
        <f>F4-G4</f>
        <v>0</v>
      </c>
      <c r="I4" s="370" t="str">
        <f>IF(H4=0,"","ISSUES!! Please review page 7 and 11 totals in comparison with total on this page")</f>
        <v/>
      </c>
      <c r="N4"/>
    </row>
    <row r="5" spans="1:18" x14ac:dyDescent="0.2">
      <c r="A5" s="21" t="s">
        <v>1184</v>
      </c>
      <c r="B5" s="301">
        <f>IFERROR(VLOOKUP(A5,'School Tables'!$C$3:$D$365,2,FALSE),"")</f>
        <v>29169</v>
      </c>
      <c r="C5" s="294" t="str">
        <f>IFERROR(INDEX('School Tables'!$B$3:$B$365,MATCH('School Level Expenditures'!B5,'School Tables'!$D$3:$D$365,0)),"")</f>
        <v>Lempster</v>
      </c>
      <c r="D5" s="291">
        <v>2272996.2400000002</v>
      </c>
      <c r="E5" s="291">
        <v>104908.7</v>
      </c>
      <c r="F5" s="304">
        <f>D5+E5</f>
        <v>2377904.9400000004</v>
      </c>
      <c r="G5" s="294"/>
      <c r="H5" s="294"/>
      <c r="I5" s="371"/>
      <c r="N5"/>
    </row>
    <row r="6" spans="1:18" x14ac:dyDescent="0.2">
      <c r="A6" s="21" t="s">
        <v>1555</v>
      </c>
      <c r="B6" s="301">
        <f>IFERROR(VLOOKUP(A6,'School Tables'!$C$3:$D$365,2,FALSE),"")</f>
        <v>99999</v>
      </c>
      <c r="C6" s="294" t="str">
        <f>IFERROR(INDEX('School Tables'!$B$3:$B$365,MATCH('School Level Expenditures'!B6,'School Tables'!$D$3:$D$365,0)),"")</f>
        <v>Other District Expenditures</v>
      </c>
      <c r="D6" s="291">
        <v>67314.14</v>
      </c>
      <c r="E6" s="291">
        <v>50055.67</v>
      </c>
      <c r="F6" s="304">
        <f t="shared" ref="F6:F20" si="0">D6+E6</f>
        <v>117369.81</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2340310.3800000004</v>
      </c>
      <c r="E21" s="351">
        <f>SUM(E5:E20)</f>
        <v>154964.37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583635.87</v>
      </c>
      <c r="G36" s="300">
        <f>'DOE25'!L248+'DOE25'!L329</f>
        <v>583635.87</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583635.87</v>
      </c>
      <c r="E37" s="291"/>
      <c r="F37" s="304">
        <f t="shared" ref="F37:F42" si="2">D37+E37</f>
        <v>583635.87</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9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583635.87</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LEMPSTER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430188.31</v>
      </c>
      <c r="D8" s="95">
        <f>'DOE25'!G9</f>
        <v>18646.34</v>
      </c>
      <c r="E8" s="95">
        <f>'DOE25'!H9</f>
        <v>-19161.93</v>
      </c>
      <c r="F8" s="95">
        <f>'DOE25'!I9</f>
        <v>0</v>
      </c>
      <c r="G8" s="95">
        <f>'DOE25'!J9</f>
        <v>201501.59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3587.21</v>
      </c>
      <c r="D12" s="95">
        <f>'DOE25'!G13</f>
        <v>10817.12</v>
      </c>
      <c r="E12" s="95">
        <f>'DOE25'!H13</f>
        <v>19519.43</v>
      </c>
      <c r="F12" s="95">
        <f>'DOE25'!I13</f>
        <v>0</v>
      </c>
      <c r="G12" s="95">
        <f>'DOE25'!J13</f>
        <v>0</v>
      </c>
      <c r="H12" s="124"/>
      <c r="I12" s="124"/>
    </row>
    <row r="13" spans="1:9" x14ac:dyDescent="0.2">
      <c r="A13" s="1" t="s">
        <v>144</v>
      </c>
      <c r="B13" s="6">
        <v>150</v>
      </c>
      <c r="C13" s="95">
        <f>'DOE25'!F14</f>
        <v>28459.32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27316.97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489551.81000000006</v>
      </c>
      <c r="D18" s="41">
        <f>SUM(D8:D17)</f>
        <v>29463.46</v>
      </c>
      <c r="E18" s="41">
        <f>SUM(E8:E17)</f>
        <v>357.5</v>
      </c>
      <c r="F18" s="41">
        <f>SUM(F8:F17)</f>
        <v>0</v>
      </c>
      <c r="G18" s="41">
        <f>SUM(G8:G17)</f>
        <v>201501.59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8000</v>
      </c>
      <c r="H22" s="124"/>
      <c r="I22" s="124"/>
    </row>
    <row r="23" spans="1:9" x14ac:dyDescent="0.2">
      <c r="A23" s="1" t="s">
        <v>152</v>
      </c>
      <c r="B23" s="6">
        <v>420</v>
      </c>
      <c r="C23" s="95">
        <f>'DOE25'!F24</f>
        <v>40031.31</v>
      </c>
      <c r="D23" s="95">
        <f>'DOE25'!G24</f>
        <v>1610.53</v>
      </c>
      <c r="E23" s="95">
        <f>'DOE25'!H24</f>
        <v>357.5</v>
      </c>
      <c r="F23" s="95">
        <f>'DOE25'!I24</f>
        <v>0</v>
      </c>
      <c r="G23" s="95">
        <f>'DOE25'!J24</f>
        <v>0</v>
      </c>
      <c r="H23" s="124"/>
      <c r="I23" s="124"/>
    </row>
    <row r="24" spans="1:9" x14ac:dyDescent="0.2">
      <c r="A24" s="1" t="s">
        <v>153</v>
      </c>
      <c r="B24" s="6">
        <v>430</v>
      </c>
      <c r="C24" s="95">
        <f>'DOE25'!F25</f>
        <v>45500</v>
      </c>
      <c r="D24" s="95">
        <f>'DOE25'!G25</f>
        <v>23148.93</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5076.8500000000004</v>
      </c>
      <c r="D27" s="95">
        <f>'DOE25'!G28</f>
        <v>0</v>
      </c>
      <c r="E27" s="95">
        <f>'DOE25'!H28</f>
        <v>0</v>
      </c>
      <c r="F27" s="95">
        <f>'DOE25'!I28</f>
        <v>0</v>
      </c>
      <c r="G27" s="24" t="s">
        <v>288</v>
      </c>
      <c r="H27" s="124"/>
      <c r="I27" s="124"/>
    </row>
    <row r="28" spans="1:9" x14ac:dyDescent="0.2">
      <c r="A28" s="1" t="s">
        <v>157</v>
      </c>
      <c r="B28" s="6">
        <v>470</v>
      </c>
      <c r="C28" s="95">
        <f>'DOE25'!F29</f>
        <v>6865.42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97473.58</v>
      </c>
      <c r="D31" s="41">
        <f>SUM(D21:D30)</f>
        <v>24759.46</v>
      </c>
      <c r="E31" s="41">
        <f>SUM(E21:E30)</f>
        <v>357.5</v>
      </c>
      <c r="F31" s="41">
        <f>SUM(F21:F30)</f>
        <v>0</v>
      </c>
      <c r="G31" s="41">
        <f>SUM(G21:G30)</f>
        <v>8000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193501.59</v>
      </c>
      <c r="H47" s="124"/>
      <c r="I47" s="124"/>
    </row>
    <row r="48" spans="1:9" x14ac:dyDescent="0.2">
      <c r="A48" s="1" t="s">
        <v>882</v>
      </c>
      <c r="B48" s="6">
        <v>753</v>
      </c>
      <c r="C48" s="95">
        <f>'DOE25'!F49</f>
        <v>61285.49</v>
      </c>
      <c r="D48" s="95">
        <f>'DOE25'!G49</f>
        <v>4704</v>
      </c>
      <c r="E48" s="95">
        <f>'DOE25'!H49</f>
        <v>0</v>
      </c>
      <c r="F48" s="95">
        <f>'DOE25'!I49</f>
        <v>0</v>
      </c>
      <c r="G48" s="95">
        <f>'DOE25'!J49</f>
        <v>0</v>
      </c>
      <c r="H48" s="124"/>
      <c r="I48" s="124"/>
    </row>
    <row r="49" spans="1:9" ht="12" thickBot="1" x14ac:dyDescent="0.25">
      <c r="A49" s="29" t="s">
        <v>883</v>
      </c>
      <c r="B49" s="71">
        <v>770</v>
      </c>
      <c r="C49" s="95">
        <f>'DOE25'!F50</f>
        <v>255792.74</v>
      </c>
      <c r="D49" s="24" t="s">
        <v>288</v>
      </c>
      <c r="E49" s="24" t="s">
        <v>288</v>
      </c>
      <c r="F49" s="24" t="s">
        <v>288</v>
      </c>
      <c r="G49" s="24" t="s">
        <v>288</v>
      </c>
      <c r="H49" s="124"/>
      <c r="I49" s="124"/>
    </row>
    <row r="50" spans="1:9" ht="12.75" thickTop="1" thickBot="1" x14ac:dyDescent="0.25">
      <c r="A50" s="38" t="s">
        <v>884</v>
      </c>
      <c r="B50" s="48"/>
      <c r="C50" s="41">
        <f>SUM(C34:C49)</f>
        <v>392078.23</v>
      </c>
      <c r="D50" s="41">
        <f>SUM(D34:D49)</f>
        <v>4704</v>
      </c>
      <c r="E50" s="41">
        <f>SUM(E34:E49)</f>
        <v>0</v>
      </c>
      <c r="F50" s="41">
        <f>SUM(F34:F49)</f>
        <v>0</v>
      </c>
      <c r="G50" s="41">
        <f>SUM(G34:G49)</f>
        <v>193501.59</v>
      </c>
      <c r="H50" s="124"/>
      <c r="I50" s="124"/>
    </row>
    <row r="51" spans="1:9" ht="12" thickTop="1" x14ac:dyDescent="0.2">
      <c r="A51" s="38" t="s">
        <v>885</v>
      </c>
      <c r="B51" s="2"/>
      <c r="C51" s="41">
        <f>C50+C31</f>
        <v>489551.81</v>
      </c>
      <c r="D51" s="41">
        <f>D50+D31</f>
        <v>29463.46</v>
      </c>
      <c r="E51" s="41">
        <f>E50+E31</f>
        <v>357.5</v>
      </c>
      <c r="F51" s="41">
        <f>F50+F31</f>
        <v>0</v>
      </c>
      <c r="G51" s="41">
        <f>G50+G31</f>
        <v>201501.59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1951110</v>
      </c>
      <c r="D56" s="95">
        <f>'DOE25'!G60</f>
        <v>0</v>
      </c>
      <c r="E56" s="95">
        <f>'DOE25'!H60</f>
        <v>0</v>
      </c>
      <c r="F56" s="95">
        <f>'DOE25'!I60</f>
        <v>0</v>
      </c>
      <c r="G56" s="95">
        <f>'DOE25'!J60</f>
        <v>0</v>
      </c>
      <c r="H56"/>
      <c r="I56"/>
    </row>
    <row r="57" spans="1:9" x14ac:dyDescent="0.2">
      <c r="A57" s="1" t="s">
        <v>164</v>
      </c>
      <c r="B57" s="6" t="s">
        <v>165</v>
      </c>
      <c r="C57" s="95">
        <f>'DOE25'!F79</f>
        <v>29703.739999999998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290.60000000000002</v>
      </c>
      <c r="D59" s="95">
        <f>'DOE25'!G96</f>
        <v>0</v>
      </c>
      <c r="E59" s="95">
        <f>'DOE25'!H96</f>
        <v>0</v>
      </c>
      <c r="F59" s="95">
        <f>'DOE25'!I96</f>
        <v>0</v>
      </c>
      <c r="G59" s="95">
        <f>'DOE25'!J96</f>
        <v>152.30000000000001</v>
      </c>
      <c r="H59"/>
      <c r="I59"/>
    </row>
    <row r="60" spans="1:9" x14ac:dyDescent="0.2">
      <c r="A60" s="1" t="s">
        <v>170</v>
      </c>
      <c r="B60" s="118" t="s">
        <v>171</v>
      </c>
      <c r="C60" s="24" t="s">
        <v>288</v>
      </c>
      <c r="D60" s="95">
        <f>'DOE25'!G97</f>
        <v>3123.58</v>
      </c>
      <c r="E60" s="24" t="s">
        <v>288</v>
      </c>
      <c r="F60" s="24" t="s">
        <v>288</v>
      </c>
      <c r="G60" s="24" t="s">
        <v>288</v>
      </c>
      <c r="H60"/>
      <c r="I60"/>
    </row>
    <row r="61" spans="1:9" ht="12" thickBot="1" x14ac:dyDescent="0.25">
      <c r="A61" s="1" t="s">
        <v>172</v>
      </c>
      <c r="B61" s="118" t="s">
        <v>173</v>
      </c>
      <c r="C61" s="95">
        <f>SUM('DOE25'!F98:F110)</f>
        <v>40996.51</v>
      </c>
      <c r="D61" s="95">
        <f>SUM('DOE25'!G98:G110)</f>
        <v>14631</v>
      </c>
      <c r="E61" s="95">
        <f>SUM('DOE25'!H98:H110)</f>
        <v>0</v>
      </c>
      <c r="F61" s="95">
        <f>SUM('DOE25'!I98:I110)</f>
        <v>0</v>
      </c>
      <c r="G61" s="95">
        <f>SUM('DOE25'!J98:J110)</f>
        <v>0</v>
      </c>
      <c r="H61"/>
      <c r="I61"/>
    </row>
    <row r="62" spans="1:9" ht="12.75" thickTop="1" thickBot="1" x14ac:dyDescent="0.25">
      <c r="A62" s="29" t="s">
        <v>174</v>
      </c>
      <c r="B62" s="6"/>
      <c r="C62" s="130">
        <f>SUM(C57:C61)</f>
        <v>70990.850000000006</v>
      </c>
      <c r="D62" s="130">
        <f>SUM(D57:D61)</f>
        <v>17754.580000000002</v>
      </c>
      <c r="E62" s="130">
        <f>SUM(E57:E61)</f>
        <v>0</v>
      </c>
      <c r="F62" s="130">
        <f>SUM(F57:F61)</f>
        <v>0</v>
      </c>
      <c r="G62" s="130">
        <f>SUM(G57:G61)</f>
        <v>152.30000000000001</v>
      </c>
      <c r="H62"/>
      <c r="I62"/>
    </row>
    <row r="63" spans="1:9" ht="12" thickTop="1" x14ac:dyDescent="0.2">
      <c r="A63" s="29" t="s">
        <v>175</v>
      </c>
      <c r="B63" s="6"/>
      <c r="C63" s="22">
        <f>C56+C62</f>
        <v>2022100.85</v>
      </c>
      <c r="D63" s="22">
        <f>D56+D62</f>
        <v>17754.580000000002</v>
      </c>
      <c r="E63" s="22">
        <f>E56+E62</f>
        <v>0</v>
      </c>
      <c r="F63" s="22">
        <f>F56+F62</f>
        <v>0</v>
      </c>
      <c r="G63" s="22">
        <f>G56+G62</f>
        <v>152.30000000000001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676387.07</v>
      </c>
      <c r="D66" s="24" t="s">
        <v>288</v>
      </c>
      <c r="E66" s="24" t="s">
        <v>288</v>
      </c>
      <c r="F66" s="24" t="s">
        <v>288</v>
      </c>
      <c r="G66" s="24" t="s">
        <v>288</v>
      </c>
      <c r="H66"/>
      <c r="I66"/>
    </row>
    <row r="67" spans="1:9" x14ac:dyDescent="0.2">
      <c r="A67" s="1" t="s">
        <v>770</v>
      </c>
      <c r="B67" s="6">
        <v>3112</v>
      </c>
      <c r="C67" s="95">
        <f>'DOE25'!F118</f>
        <v>275678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954060.27999999991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7483.47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894.48</v>
      </c>
      <c r="E77" s="95">
        <f>SUM('DOE25'!H131:H135)</f>
        <v>0</v>
      </c>
      <c r="F77" s="95">
        <f>SUM('DOE25'!I131:I135)</f>
        <v>0</v>
      </c>
      <c r="G77" s="95">
        <f>SUM('DOE25'!J131:J135)</f>
        <v>0</v>
      </c>
      <c r="H77"/>
      <c r="I77"/>
    </row>
    <row r="78" spans="1:9" ht="12.75" thickTop="1" thickBot="1" x14ac:dyDescent="0.25">
      <c r="A78" s="29" t="s">
        <v>259</v>
      </c>
      <c r="B78" s="6"/>
      <c r="C78" s="130">
        <f>SUM(C72:C77)</f>
        <v>7483.47</v>
      </c>
      <c r="D78" s="130">
        <f>SUM(D72:D77)</f>
        <v>894.48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961543.74999999988</v>
      </c>
      <c r="D81" s="130">
        <f>SUM(D79:D80)+D78+D70</f>
        <v>894.48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23763.16</v>
      </c>
      <c r="D88" s="331">
        <f>SUM('DOE25'!G153:G162)</f>
        <v>63750.62</v>
      </c>
      <c r="E88" s="331">
        <f>SUM('DOE25'!H153:H162)</f>
        <v>158071.88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23763.16</v>
      </c>
      <c r="D91" s="131">
        <f>SUM(D85:D90)</f>
        <v>63750.62</v>
      </c>
      <c r="E91" s="131">
        <f>SUM(E85:E90)</f>
        <v>158071.88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21492</v>
      </c>
      <c r="E96" s="95">
        <f>'DOE25'!H180</f>
        <v>0</v>
      </c>
      <c r="F96" s="95">
        <f>'DOE25'!I180</f>
        <v>0</v>
      </c>
      <c r="G96" s="95">
        <f>'DOE25'!J180</f>
        <v>90000</v>
      </c>
    </row>
    <row r="97" spans="1:7" x14ac:dyDescent="0.2">
      <c r="A97" t="s">
        <v>754</v>
      </c>
      <c r="B97" s="32" t="s">
        <v>188</v>
      </c>
      <c r="C97" s="95">
        <f>SUM('DOE25'!F181:F182)</f>
        <v>11075.54</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8000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19075.54</v>
      </c>
      <c r="D103" s="86">
        <f>SUM(D93:D102)</f>
        <v>21492</v>
      </c>
      <c r="E103" s="86">
        <f>SUM(E93:E102)</f>
        <v>0</v>
      </c>
      <c r="F103" s="86">
        <f>SUM(F93:F102)</f>
        <v>0</v>
      </c>
      <c r="G103" s="86">
        <f>SUM(G93:G102)</f>
        <v>90000</v>
      </c>
    </row>
    <row r="104" spans="1:7" ht="12.75" thickTop="1" thickBot="1" x14ac:dyDescent="0.25">
      <c r="A104" s="33" t="s">
        <v>761</v>
      </c>
      <c r="C104" s="86">
        <f>C63+C81+C91+C103</f>
        <v>3026483.3000000003</v>
      </c>
      <c r="D104" s="86">
        <f>D63+D81+D91+D103</f>
        <v>103891.68000000001</v>
      </c>
      <c r="E104" s="86">
        <f>E63+E81+E91+E103</f>
        <v>158071.88</v>
      </c>
      <c r="F104" s="86">
        <f>F63+F81+F91+F103</f>
        <v>0</v>
      </c>
      <c r="G104" s="86">
        <f>G63+G81+G103</f>
        <v>90152.3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1073341.1300000001</v>
      </c>
      <c r="D109" s="24" t="s">
        <v>288</v>
      </c>
      <c r="E109" s="95">
        <f>('DOE25'!L277)+('DOE25'!L296)+('DOE25'!L315)</f>
        <v>16165</v>
      </c>
      <c r="F109" s="24" t="s">
        <v>288</v>
      </c>
      <c r="G109" s="24" t="s">
        <v>288</v>
      </c>
    </row>
    <row r="110" spans="1:7" x14ac:dyDescent="0.2">
      <c r="A110" t="s">
        <v>198</v>
      </c>
      <c r="B110" s="32" t="s">
        <v>199</v>
      </c>
      <c r="C110" s="95">
        <f>('DOE25'!L199)+('DOE25'!L217)+('DOE25'!L235)</f>
        <v>623033.61999999988</v>
      </c>
      <c r="D110" s="24" t="s">
        <v>288</v>
      </c>
      <c r="E110" s="95">
        <f>('DOE25'!L278)+('DOE25'!L297)+('DOE25'!L316)</f>
        <v>86833.29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19760.37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1716135.12</v>
      </c>
      <c r="D115" s="86">
        <f>SUM(D109:D114)</f>
        <v>0</v>
      </c>
      <c r="E115" s="86">
        <f>SUM(E109:E114)</f>
        <v>102998.29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264381.32</v>
      </c>
      <c r="D118" s="24" t="s">
        <v>288</v>
      </c>
      <c r="E118" s="95">
        <f>+('DOE25'!L282)+('DOE25'!L301)+('DOE25'!L320)</f>
        <v>1309.5999999999999</v>
      </c>
      <c r="F118" s="24" t="s">
        <v>288</v>
      </c>
      <c r="G118" s="24" t="s">
        <v>288</v>
      </c>
    </row>
    <row r="119" spans="1:7" x14ac:dyDescent="0.2">
      <c r="A119" t="s">
        <v>208</v>
      </c>
      <c r="B119" s="32" t="s">
        <v>209</v>
      </c>
      <c r="C119" s="95">
        <f>('DOE25'!L204)+('DOE25'!L222)+('DOE25'!L240)</f>
        <v>125906.94999999998</v>
      </c>
      <c r="D119" s="24" t="s">
        <v>288</v>
      </c>
      <c r="E119" s="95">
        <f>+('DOE25'!L283)+('DOE25'!L302)+('DOE25'!L321)</f>
        <v>27554.91</v>
      </c>
      <c r="F119" s="24" t="s">
        <v>288</v>
      </c>
      <c r="G119" s="24" t="s">
        <v>288</v>
      </c>
    </row>
    <row r="120" spans="1:7" x14ac:dyDescent="0.2">
      <c r="A120" t="s">
        <v>210</v>
      </c>
      <c r="B120" s="32" t="s">
        <v>211</v>
      </c>
      <c r="C120" s="95">
        <f>('DOE25'!L205)+('DOE25'!L223)+('DOE25'!L241)</f>
        <v>221198.38</v>
      </c>
      <c r="D120" s="24" t="s">
        <v>288</v>
      </c>
      <c r="E120" s="95">
        <f>+('DOE25'!L284)+('DOE25'!L303)+('DOE25'!L322)</f>
        <v>0</v>
      </c>
      <c r="F120" s="24" t="s">
        <v>288</v>
      </c>
      <c r="G120" s="24" t="s">
        <v>288</v>
      </c>
    </row>
    <row r="121" spans="1:7" x14ac:dyDescent="0.2">
      <c r="A121" t="s">
        <v>212</v>
      </c>
      <c r="B121" s="32" t="s">
        <v>213</v>
      </c>
      <c r="C121" s="95">
        <f>('DOE25'!L206)+('DOE25'!L224)+('DOE25'!L242)</f>
        <v>216246.49999999997</v>
      </c>
      <c r="D121" s="24" t="s">
        <v>288</v>
      </c>
      <c r="E121" s="95">
        <f>+('DOE25'!L285)+('DOE25'!L304)+('DOE25'!L323)</f>
        <v>0</v>
      </c>
      <c r="F121" s="24" t="s">
        <v>288</v>
      </c>
      <c r="G121" s="24" t="s">
        <v>288</v>
      </c>
    </row>
    <row r="122" spans="1:7" x14ac:dyDescent="0.2">
      <c r="A122" t="s">
        <v>214</v>
      </c>
      <c r="B122" s="32" t="s">
        <v>215</v>
      </c>
      <c r="C122" s="95">
        <f>('DOE25'!L207)+('DOE25'!L225)+('DOE25'!L243)</f>
        <v>57348.25</v>
      </c>
      <c r="D122" s="24" t="s">
        <v>288</v>
      </c>
      <c r="E122" s="95">
        <f>+('DOE25'!L286)+('DOE25'!L305)+('DOE25'!L324)</f>
        <v>0</v>
      </c>
      <c r="F122" s="24" t="s">
        <v>288</v>
      </c>
      <c r="G122" s="24" t="s">
        <v>288</v>
      </c>
    </row>
    <row r="123" spans="1:7" x14ac:dyDescent="0.2">
      <c r="A123" t="s">
        <v>216</v>
      </c>
      <c r="B123" s="32" t="s">
        <v>217</v>
      </c>
      <c r="C123" s="95">
        <f>('DOE25'!L208)+('DOE25'!L226)+('DOE25'!L244)</f>
        <v>216558.74999999997</v>
      </c>
      <c r="D123" s="24" t="s">
        <v>288</v>
      </c>
      <c r="E123" s="95">
        <f>+('DOE25'!L287)+('DOE25'!L306)+('DOE25'!L325)</f>
        <v>23101.57</v>
      </c>
      <c r="F123" s="24" t="s">
        <v>288</v>
      </c>
      <c r="G123" s="24" t="s">
        <v>288</v>
      </c>
    </row>
    <row r="124" spans="1:7" x14ac:dyDescent="0.2">
      <c r="A124" t="s">
        <v>218</v>
      </c>
      <c r="B124" s="32" t="s">
        <v>219</v>
      </c>
      <c r="C124" s="95">
        <f>('DOE25'!L209)+('DOE25'!L227)+('DOE25'!L245+'DOE25'!L255)</f>
        <v>106170.98000000001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91219.65</v>
      </c>
      <c r="E127" s="24" t="s">
        <v>288</v>
      </c>
      <c r="F127" s="24" t="s">
        <v>288</v>
      </c>
      <c r="G127" s="24" t="s">
        <v>288</v>
      </c>
    </row>
    <row r="128" spans="1:7" ht="12.75" thickTop="1" thickBot="1" x14ac:dyDescent="0.25">
      <c r="A128" s="33" t="s">
        <v>226</v>
      </c>
      <c r="C128" s="86">
        <f>SUM(C118:C127)</f>
        <v>1207811.1299999999</v>
      </c>
      <c r="D128" s="86">
        <f>SUM(D118:D127)</f>
        <v>91219.65</v>
      </c>
      <c r="E128" s="86">
        <f>SUM(E118:E127)</f>
        <v>51966.080000000002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98220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7968.03</v>
      </c>
      <c r="E134" s="95">
        <f>'DOE25'!L345</f>
        <v>3107.51</v>
      </c>
      <c r="F134" s="95">
        <f>'DOE25'!K382</f>
        <v>0</v>
      </c>
      <c r="G134" s="95">
        <f>'DOE25'!K435</f>
        <v>8000</v>
      </c>
    </row>
    <row r="135" spans="1:7" x14ac:dyDescent="0.2">
      <c r="A135" t="s">
        <v>233</v>
      </c>
      <c r="B135" s="32" t="s">
        <v>234</v>
      </c>
      <c r="C135" s="95">
        <f>'DOE25'!L264</f>
        <v>21492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52.62</v>
      </c>
      <c r="D138" s="24" t="s">
        <v>288</v>
      </c>
      <c r="E138" s="24" t="s">
        <v>288</v>
      </c>
      <c r="F138" s="24" t="s">
        <v>288</v>
      </c>
      <c r="G138" s="24" t="s">
        <v>288</v>
      </c>
    </row>
    <row r="139" spans="1:7" x14ac:dyDescent="0.2">
      <c r="A139" t="s">
        <v>239</v>
      </c>
      <c r="B139" s="32">
        <v>5252</v>
      </c>
      <c r="C139" s="95">
        <f>'DOE25'!L402</f>
        <v>90099.68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-152.29999999998836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209712</v>
      </c>
      <c r="D144" s="141">
        <f>SUM(D130:D143)</f>
        <v>7968.03</v>
      </c>
      <c r="E144" s="141">
        <f>SUM(E130:E143)</f>
        <v>3107.51</v>
      </c>
      <c r="F144" s="141">
        <f>SUM(F130:F143)</f>
        <v>0</v>
      </c>
      <c r="G144" s="141">
        <f>SUM(G130:G143)</f>
        <v>8000</v>
      </c>
    </row>
    <row r="145" spans="1:9" ht="12.75" thickTop="1" thickBot="1" x14ac:dyDescent="0.25">
      <c r="A145" s="33" t="s">
        <v>244</v>
      </c>
      <c r="C145" s="86">
        <f>(C115+C128+C144)</f>
        <v>3133658.25</v>
      </c>
      <c r="D145" s="86">
        <f>(D115+D128+D144)</f>
        <v>99187.68</v>
      </c>
      <c r="E145" s="86">
        <f>(E115+E128+E144)</f>
        <v>158071.88</v>
      </c>
      <c r="F145" s="86">
        <f>(F115+F128+F144)</f>
        <v>0</v>
      </c>
      <c r="G145" s="86">
        <f>(G115+G128+G144)</f>
        <v>8000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LEMPSTER SCHOOL DISTRICT</v>
      </c>
    </row>
    <row r="3" spans="1:4" x14ac:dyDescent="0.2">
      <c r="B3" s="188" t="s">
        <v>1666</v>
      </c>
    </row>
    <row r="4" spans="1:4" x14ac:dyDescent="0.2">
      <c r="B4" t="s">
        <v>61</v>
      </c>
      <c r="C4" s="179">
        <f>IF('DOE25'!F666+'DOE25'!F671=0,0,ROUND('DOE25'!F673,0))</f>
        <v>21154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21154</v>
      </c>
    </row>
    <row r="9" spans="1:4" x14ac:dyDescent="0.2">
      <c r="A9" s="187" t="s">
        <v>94</v>
      </c>
      <c r="B9" s="188" t="s">
        <v>1671</v>
      </c>
      <c r="C9" s="181" t="s">
        <v>720</v>
      </c>
      <c r="D9" s="181" t="s">
        <v>721</v>
      </c>
    </row>
    <row r="10" spans="1:4" x14ac:dyDescent="0.2">
      <c r="A10">
        <v>1100</v>
      </c>
      <c r="B10" t="s">
        <v>702</v>
      </c>
      <c r="C10" s="179">
        <f>ROUND('DOE25'!L198+'DOE25'!L216+'DOE25'!L234+'DOE25'!L277+'DOE25'!L296+'DOE25'!L315,0)</f>
        <v>1089506</v>
      </c>
      <c r="D10" s="182">
        <f>ROUND((C10/$C$28)*100,1)</f>
        <v>34.6</v>
      </c>
    </row>
    <row r="11" spans="1:4" x14ac:dyDescent="0.2">
      <c r="A11">
        <v>1200</v>
      </c>
      <c r="B11" t="s">
        <v>703</v>
      </c>
      <c r="C11" s="179">
        <f>ROUND('DOE25'!L199+'DOE25'!L217+'DOE25'!L235+'DOE25'!L278+'DOE25'!L297+'DOE25'!L316,0)</f>
        <v>709867</v>
      </c>
      <c r="D11" s="182">
        <f>ROUND((C11/$C$28)*100,1)</f>
        <v>22.5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19760</v>
      </c>
      <c r="D13" s="182">
        <f>ROUND((C13/$C$28)*100,1)</f>
        <v>0.6</v>
      </c>
    </row>
    <row r="14" spans="1:4" x14ac:dyDescent="0.2">
      <c r="D14" s="182"/>
    </row>
    <row r="15" spans="1:4" x14ac:dyDescent="0.2">
      <c r="A15">
        <v>2100</v>
      </c>
      <c r="B15" t="s">
        <v>706</v>
      </c>
      <c r="C15" s="179">
        <f>ROUND('DOE25'!L203+'DOE25'!L221+'DOE25'!L239+'DOE25'!L282+'DOE25'!L301+'DOE25'!L320,0)</f>
        <v>265691</v>
      </c>
      <c r="D15" s="182">
        <f t="shared" ref="D15:D27" si="0">ROUND((C15/$C$28)*100,1)</f>
        <v>8.4</v>
      </c>
    </row>
    <row r="16" spans="1:4" x14ac:dyDescent="0.2">
      <c r="A16">
        <v>2200</v>
      </c>
      <c r="B16" t="s">
        <v>707</v>
      </c>
      <c r="C16" s="179">
        <f>ROUND('DOE25'!L204+'DOE25'!L222+'DOE25'!L240+'DOE25'!L283+'DOE25'!L302+'DOE25'!L321,0)</f>
        <v>153462</v>
      </c>
      <c r="D16" s="182">
        <f t="shared" si="0"/>
        <v>4.9000000000000004</v>
      </c>
    </row>
    <row r="17" spans="1:4" x14ac:dyDescent="0.2">
      <c r="A17" s="183" t="s">
        <v>723</v>
      </c>
      <c r="B17" t="s">
        <v>738</v>
      </c>
      <c r="C17" s="179">
        <f>ROUND('DOE25'!L205+'DOE25'!L210+'DOE25'!L223+'DOE25'!L228+'DOE25'!L241+'DOE25'!L246+'DOE25'!L284+'DOE25'!L289+'DOE25'!L303+'DOE25'!L308+'DOE25'!L322+'DOE25'!L327,0)</f>
        <v>221198</v>
      </c>
      <c r="D17" s="182">
        <f t="shared" si="0"/>
        <v>7</v>
      </c>
    </row>
    <row r="18" spans="1:4" x14ac:dyDescent="0.2">
      <c r="A18">
        <v>2400</v>
      </c>
      <c r="B18" t="s">
        <v>711</v>
      </c>
      <c r="C18" s="179">
        <f>ROUND('DOE25'!L206+'DOE25'!L224+'DOE25'!L242+'DOE25'!L285+'DOE25'!L304+'DOE25'!L323,0)</f>
        <v>216247</v>
      </c>
      <c r="D18" s="182">
        <f t="shared" si="0"/>
        <v>6.9</v>
      </c>
    </row>
    <row r="19" spans="1:4" x14ac:dyDescent="0.2">
      <c r="A19">
        <v>2500</v>
      </c>
      <c r="B19" t="s">
        <v>708</v>
      </c>
      <c r="C19" s="179">
        <f>ROUND('DOE25'!L207+'DOE25'!L225+'DOE25'!L243+'DOE25'!L286+'DOE25'!L305+'DOE25'!L324,0)</f>
        <v>57348</v>
      </c>
      <c r="D19" s="182">
        <f t="shared" si="0"/>
        <v>1.8</v>
      </c>
    </row>
    <row r="20" spans="1:4" x14ac:dyDescent="0.2">
      <c r="A20">
        <v>2600</v>
      </c>
      <c r="B20" t="s">
        <v>709</v>
      </c>
      <c r="C20" s="179">
        <f>ROUND('DOE25'!L208+'DOE25'!L226+'DOE25'!L244+'DOE25'!L287+'DOE25'!L306+'DOE25'!L325,0)</f>
        <v>239660</v>
      </c>
      <c r="D20" s="182">
        <f t="shared" si="0"/>
        <v>7.6</v>
      </c>
    </row>
    <row r="21" spans="1:4" x14ac:dyDescent="0.2">
      <c r="A21">
        <v>2700</v>
      </c>
      <c r="B21" t="s">
        <v>710</v>
      </c>
      <c r="C21" s="179">
        <f>ROUND('DOE25'!L209+'DOE25'!L227+'DOE25'!L245+'DOE25'!L288+'DOE25'!L307+'DOE25'!L326,0)</f>
        <v>106171</v>
      </c>
      <c r="D21" s="182">
        <f t="shared" si="0"/>
        <v>3.4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73465.42</v>
      </c>
      <c r="D27" s="182">
        <f t="shared" si="0"/>
        <v>2.2999999999999998</v>
      </c>
    </row>
    <row r="28" spans="1:4" x14ac:dyDescent="0.2">
      <c r="B28" s="187" t="s">
        <v>719</v>
      </c>
      <c r="C28" s="180">
        <f>SUM(C10:C27)</f>
        <v>3152375.42</v>
      </c>
      <c r="D28" s="184">
        <f>ROUND(SUM(D10:D27),0)</f>
        <v>100</v>
      </c>
    </row>
    <row r="29" spans="1:4" x14ac:dyDescent="0.2">
      <c r="A29">
        <v>4000</v>
      </c>
      <c r="B29" t="s">
        <v>724</v>
      </c>
      <c r="C29" s="179">
        <f>ROUND('DOE25'!L256+'DOE25'!L337+'DOE25'!L375+'DOE25'!L376+'DOE25'!L377+'DOE25'!L378+'DOE25'!L379+'DOE25'!L380+'DOE25'!L381,0)</f>
        <v>98220</v>
      </c>
    </row>
    <row r="30" spans="1:4" x14ac:dyDescent="0.2">
      <c r="B30" s="187" t="s">
        <v>725</v>
      </c>
      <c r="C30" s="180">
        <f>SUM(C28:C29)</f>
        <v>3250595.42</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1951110</v>
      </c>
      <c r="D35" s="182">
        <f t="shared" ref="D35:D40" si="1">ROUND((C35/$C$41)*100,1)</f>
        <v>60.4</v>
      </c>
    </row>
    <row r="36" spans="1:4" x14ac:dyDescent="0.2">
      <c r="B36" s="185" t="s">
        <v>739</v>
      </c>
      <c r="C36" s="179">
        <f>SUM('DOE25'!F112:J112)-SUM('DOE25'!G97:G110)+('DOE25'!F175+'DOE25'!F176+'DOE25'!I175+'DOE25'!I176)-C35</f>
        <v>71143.15000000014</v>
      </c>
      <c r="D36" s="182">
        <f t="shared" si="1"/>
        <v>2.2000000000000002</v>
      </c>
    </row>
    <row r="37" spans="1:4" x14ac:dyDescent="0.2">
      <c r="A37" s="183" t="s">
        <v>835</v>
      </c>
      <c r="B37" s="185" t="s">
        <v>728</v>
      </c>
      <c r="C37" s="179">
        <f>ROUND('DOE25'!F117+'DOE25'!F118,0)</f>
        <v>952065</v>
      </c>
      <c r="D37" s="182">
        <f t="shared" si="1"/>
        <v>29.5</v>
      </c>
    </row>
    <row r="38" spans="1:4" x14ac:dyDescent="0.2">
      <c r="A38" s="183" t="s">
        <v>734</v>
      </c>
      <c r="B38" s="185" t="s">
        <v>729</v>
      </c>
      <c r="C38" s="179">
        <f>ROUND(SUM('DOE25'!F140:J140)-SUM('DOE25'!F117:F119),0)</f>
        <v>10373</v>
      </c>
      <c r="D38" s="182">
        <f t="shared" si="1"/>
        <v>0.3</v>
      </c>
    </row>
    <row r="39" spans="1:4" x14ac:dyDescent="0.2">
      <c r="A39">
        <v>4000</v>
      </c>
      <c r="B39" s="185" t="s">
        <v>730</v>
      </c>
      <c r="C39" s="179">
        <f>ROUND('DOE25'!F170+'DOE25'!G170+'DOE25'!H170+'DOE25'!I170,0)</f>
        <v>245586</v>
      </c>
      <c r="D39" s="182">
        <f t="shared" si="1"/>
        <v>7.6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3230277.1500000004</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LEMPSTER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2021-08-17T13:57:43Z</cp:lastPrinted>
  <dcterms:created xsi:type="dcterms:W3CDTF">1997-12-04T19:04:30Z</dcterms:created>
  <dcterms:modified xsi:type="dcterms:W3CDTF">2021-12-08T15:12:25Z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