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1" l="1"/>
  <c r="F473" i="1"/>
  <c r="G401" i="1"/>
  <c r="J180" i="1"/>
  <c r="F44" i="1"/>
  <c r="F29" i="13"/>
  <c r="F15" i="13"/>
  <c r="F6" i="13"/>
  <c r="F5" i="13"/>
  <c r="E22" i="17" l="1"/>
  <c r="F12" i="1" l="1"/>
  <c r="H48" i="1"/>
  <c r="H12" i="1"/>
  <c r="H49" i="1"/>
  <c r="I12" i="1"/>
  <c r="I49" i="1"/>
  <c r="I469" i="1" l="1"/>
  <c r="F469" i="1"/>
  <c r="F57" i="1"/>
  <c r="F22" i="1"/>
  <c r="I22" i="1"/>
  <c r="H22" i="1" l="1"/>
  <c r="H13" i="1"/>
  <c r="H30" i="1"/>
  <c r="F28" i="1"/>
  <c r="F9" i="1"/>
  <c r="G203" i="1" l="1"/>
  <c r="C19" i="12"/>
  <c r="C10" i="12"/>
  <c r="G239" i="1"/>
  <c r="G221" i="1"/>
  <c r="G235" i="1"/>
  <c r="G217" i="1"/>
  <c r="G199" i="1"/>
  <c r="G234" i="1"/>
  <c r="G216" i="1"/>
  <c r="G198" i="1"/>
  <c r="E37" i="14"/>
  <c r="E25" i="14"/>
  <c r="E5" i="14"/>
  <c r="D11" i="13"/>
  <c r="C37" i="12" l="1"/>
  <c r="B37" i="12"/>
  <c r="C39" i="12"/>
  <c r="B39" i="12"/>
  <c r="C20" i="12"/>
  <c r="B19" i="12"/>
  <c r="B20" i="12" l="1"/>
  <c r="B21" i="12"/>
  <c r="B10" i="12"/>
  <c r="B12" i="12"/>
  <c r="E30" i="17"/>
  <c r="E26" i="17"/>
  <c r="E24" i="17"/>
  <c r="H162" i="1"/>
  <c r="H161" i="1"/>
  <c r="G612" i="1"/>
  <c r="F612" i="1"/>
  <c r="G613" i="1"/>
  <c r="F613" i="1"/>
  <c r="H612" i="1"/>
  <c r="G614" i="1"/>
  <c r="F614" i="1"/>
  <c r="J605" i="1"/>
  <c r="I605" i="1"/>
  <c r="H605" i="1"/>
  <c r="J596" i="1"/>
  <c r="I596" i="1"/>
  <c r="H596" i="1"/>
  <c r="J595" i="1"/>
  <c r="I595" i="1"/>
  <c r="J594" i="1"/>
  <c r="J592" i="1"/>
  <c r="I592" i="1"/>
  <c r="H592" i="1"/>
  <c r="H543" i="1" l="1"/>
  <c r="G534" i="1"/>
  <c r="G533" i="1"/>
  <c r="G532" i="1"/>
  <c r="F534" i="1"/>
  <c r="F533" i="1"/>
  <c r="F532" i="1"/>
  <c r="H527" i="1"/>
  <c r="F527" i="1"/>
  <c r="H524" i="1"/>
  <c r="H523" i="1"/>
  <c r="F523" i="1"/>
  <c r="I522" i="1"/>
  <c r="H522" i="1"/>
  <c r="F522" i="1"/>
  <c r="F503" i="1"/>
  <c r="F502" i="1"/>
  <c r="F500" i="1"/>
  <c r="F499" i="1"/>
  <c r="J427" i="1"/>
  <c r="H423" i="1"/>
  <c r="H401" i="1"/>
  <c r="H400" i="1"/>
  <c r="H398" i="1"/>
  <c r="H397" i="1"/>
  <c r="G400" i="1"/>
  <c r="G398" i="1"/>
  <c r="G397" i="1"/>
  <c r="I361" i="1"/>
  <c r="H361" i="1"/>
  <c r="I360" i="1"/>
  <c r="H360" i="1"/>
  <c r="I359" i="1"/>
  <c r="H359" i="1"/>
  <c r="F368" i="1"/>
  <c r="K306" i="1" l="1"/>
  <c r="J325" i="1"/>
  <c r="H325" i="1"/>
  <c r="J306" i="1"/>
  <c r="H306" i="1"/>
  <c r="J287" i="1"/>
  <c r="H287" i="1"/>
  <c r="K325" i="1"/>
  <c r="I325" i="1"/>
  <c r="G325" i="1"/>
  <c r="F325" i="1"/>
  <c r="I306" i="1"/>
  <c r="I287" i="1"/>
  <c r="G282" i="1"/>
  <c r="F282" i="1"/>
  <c r="K318" i="1"/>
  <c r="K299" i="1"/>
  <c r="J315" i="1"/>
  <c r="J296" i="1"/>
  <c r="J277" i="1"/>
  <c r="G306" i="1"/>
  <c r="F306" i="1"/>
  <c r="K287" i="1"/>
  <c r="G280" i="1"/>
  <c r="F280" i="1"/>
  <c r="H315" i="1"/>
  <c r="G315" i="1"/>
  <c r="F315" i="1"/>
  <c r="H296" i="1"/>
  <c r="G296" i="1"/>
  <c r="F296" i="1"/>
  <c r="H277" i="1"/>
  <c r="G277" i="1"/>
  <c r="F277" i="1"/>
  <c r="I282" i="1"/>
  <c r="H283" i="1"/>
  <c r="I277" i="1"/>
  <c r="H320" i="1"/>
  <c r="H301" i="1"/>
  <c r="H282" i="1"/>
  <c r="G297" i="1"/>
  <c r="F297" i="1"/>
  <c r="G278" i="1"/>
  <c r="F278" i="1"/>
  <c r="H316" i="1"/>
  <c r="G316" i="1"/>
  <c r="F316" i="1"/>
  <c r="H297" i="1"/>
  <c r="I278" i="1"/>
  <c r="H278" i="1"/>
  <c r="F321" i="1"/>
  <c r="F302" i="1"/>
  <c r="F283" i="1"/>
  <c r="H235" i="1"/>
  <c r="H245" i="1"/>
  <c r="G245" i="1"/>
  <c r="F245" i="1"/>
  <c r="H227" i="1"/>
  <c r="H209" i="1"/>
  <c r="G227" i="1"/>
  <c r="F227" i="1"/>
  <c r="I209" i="1"/>
  <c r="G209" i="1"/>
  <c r="F209" i="1"/>
  <c r="H244" i="1"/>
  <c r="H226" i="1"/>
  <c r="H208" i="1"/>
  <c r="I244" i="1"/>
  <c r="I226" i="1"/>
  <c r="I208" i="1"/>
  <c r="J244" i="1"/>
  <c r="J226" i="1"/>
  <c r="J208" i="1"/>
  <c r="K244" i="1"/>
  <c r="G244" i="1"/>
  <c r="F244" i="1"/>
  <c r="K226" i="1"/>
  <c r="G226" i="1"/>
  <c r="F226" i="1"/>
  <c r="K208" i="1"/>
  <c r="G208" i="1"/>
  <c r="F208" i="1"/>
  <c r="I242" i="1"/>
  <c r="H242" i="1"/>
  <c r="I224" i="1"/>
  <c r="K242" i="1"/>
  <c r="J242" i="1"/>
  <c r="G242" i="1"/>
  <c r="F242" i="1"/>
  <c r="K224" i="1"/>
  <c r="J224" i="1"/>
  <c r="H224" i="1"/>
  <c r="G224" i="1"/>
  <c r="F224" i="1"/>
  <c r="K206" i="1"/>
  <c r="I206" i="1"/>
  <c r="H206" i="1"/>
  <c r="G206" i="1"/>
  <c r="F206" i="1"/>
  <c r="K241" i="1"/>
  <c r="J241" i="1"/>
  <c r="I241" i="1"/>
  <c r="H241" i="1"/>
  <c r="G241" i="1"/>
  <c r="F241" i="1"/>
  <c r="K223" i="1"/>
  <c r="J223" i="1"/>
  <c r="I223" i="1"/>
  <c r="H223" i="1"/>
  <c r="G223" i="1"/>
  <c r="F223" i="1"/>
  <c r="K205" i="1"/>
  <c r="J205" i="1"/>
  <c r="I205" i="1"/>
  <c r="H205" i="1"/>
  <c r="G205" i="1"/>
  <c r="F205" i="1"/>
  <c r="F204" i="1"/>
  <c r="H240" i="1"/>
  <c r="J240" i="1"/>
  <c r="I240" i="1"/>
  <c r="J222" i="1"/>
  <c r="I222" i="1"/>
  <c r="H222" i="1"/>
  <c r="J204" i="1"/>
  <c r="I204" i="1"/>
  <c r="G240" i="1"/>
  <c r="F240" i="1"/>
  <c r="G222" i="1"/>
  <c r="F222" i="1"/>
  <c r="G204" i="1"/>
  <c r="H204" i="1"/>
  <c r="H239" i="1"/>
  <c r="H221" i="1"/>
  <c r="H203" i="1"/>
  <c r="F203" i="1"/>
  <c r="J239" i="1"/>
  <c r="I239" i="1"/>
  <c r="F239" i="1"/>
  <c r="J221" i="1"/>
  <c r="I221" i="1"/>
  <c r="F221" i="1"/>
  <c r="J203" i="1"/>
  <c r="I203" i="1"/>
  <c r="K203" i="1"/>
  <c r="K239" i="1"/>
  <c r="K221" i="1"/>
  <c r="G158" i="1"/>
  <c r="H135" i="1"/>
  <c r="G97" i="1"/>
  <c r="H155" i="1" l="1"/>
  <c r="I237" i="1"/>
  <c r="G237" i="1"/>
  <c r="F237" i="1"/>
  <c r="G219" i="1"/>
  <c r="F219" i="1"/>
  <c r="G201" i="1"/>
  <c r="F217" i="1"/>
  <c r="H199" i="1"/>
  <c r="F199" i="1"/>
  <c r="H217" i="1"/>
  <c r="F235" i="1"/>
  <c r="I199" i="1"/>
  <c r="J234" i="1"/>
  <c r="I234" i="1"/>
  <c r="H234" i="1"/>
  <c r="F234" i="1"/>
  <c r="J216" i="1"/>
  <c r="I216" i="1"/>
  <c r="H216" i="1"/>
  <c r="F216" i="1"/>
  <c r="K198" i="1"/>
  <c r="J198" i="1"/>
  <c r="I198" i="1"/>
  <c r="H198" i="1"/>
  <c r="F198" i="1"/>
  <c r="G653" i="1"/>
  <c r="E7" i="17" l="1"/>
  <c r="E43" i="14" l="1"/>
  <c r="E33" i="14"/>
  <c r="E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E58" i="2" s="1"/>
  <c r="H111" i="1"/>
  <c r="I111" i="1"/>
  <c r="J111" i="1"/>
  <c r="J112" i="1" s="1"/>
  <c r="F121" i="1"/>
  <c r="F136" i="1"/>
  <c r="G121" i="1"/>
  <c r="G136" i="1"/>
  <c r="H121" i="1"/>
  <c r="H136" i="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H653" i="1"/>
  <c r="G654" i="1"/>
  <c r="H654" i="1"/>
  <c r="G655" i="1"/>
  <c r="H655" i="1"/>
  <c r="H656" i="1"/>
  <c r="J656" i="1" s="1"/>
  <c r="I170" i="1"/>
  <c r="H477" i="1" l="1"/>
  <c r="H625" i="1" s="1"/>
  <c r="G477" i="1"/>
  <c r="J652" i="1"/>
  <c r="G553" i="1"/>
  <c r="I409" i="1"/>
  <c r="E112" i="2"/>
  <c r="K339" i="1"/>
  <c r="K353" i="1" s="1"/>
  <c r="C125" i="2"/>
  <c r="G651" i="1"/>
  <c r="C119" i="2"/>
  <c r="J258" i="1"/>
  <c r="C13" i="10"/>
  <c r="C112" i="2"/>
  <c r="C110" i="2"/>
  <c r="C12" i="10"/>
  <c r="E123" i="2"/>
  <c r="D50" i="2"/>
  <c r="G409" i="1"/>
  <c r="H646" i="1" s="1"/>
  <c r="J646" i="1" s="1"/>
  <c r="H140" i="1"/>
  <c r="E110" i="2"/>
  <c r="D15" i="13"/>
  <c r="C15" i="13" s="1"/>
  <c r="C120" i="2"/>
  <c r="H409" i="1"/>
  <c r="H645" i="1" s="1"/>
  <c r="G339" i="1"/>
  <c r="G353" i="1" s="1"/>
  <c r="I112" i="1"/>
  <c r="J572" i="1"/>
  <c r="J140" i="1"/>
  <c r="A40" i="12"/>
  <c r="C32" i="10"/>
  <c r="E119" i="2"/>
  <c r="C121" i="2"/>
  <c r="D6" i="13"/>
  <c r="C6" i="13" s="1"/>
  <c r="E13" i="13"/>
  <c r="C13" i="13" s="1"/>
  <c r="H663" i="1"/>
  <c r="G662" i="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D37" i="14" s="1"/>
  <c r="L212" i="1"/>
  <c r="D5" i="14"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D25"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E51" i="2"/>
  <c r="D43" i="14"/>
  <c r="F37" i="14"/>
  <c r="F36" i="14" s="1"/>
  <c r="D33" i="14"/>
  <c r="F25" i="14"/>
  <c r="F24" i="14" s="1"/>
  <c r="D21" i="14"/>
  <c r="F5" i="14"/>
  <c r="F4" i="14" s="1"/>
  <c r="C141" i="2"/>
  <c r="C144" i="2" s="1"/>
  <c r="H649" i="1"/>
  <c r="J649" i="1" s="1"/>
  <c r="E128" i="2"/>
  <c r="E145" i="2" s="1"/>
  <c r="G24" i="14"/>
  <c r="J272" i="1"/>
  <c r="F194" i="1"/>
  <c r="G628" i="1" s="1"/>
  <c r="J628" i="1" s="1"/>
  <c r="C81" i="2"/>
  <c r="F661" i="1"/>
  <c r="F665" i="1" s="1"/>
  <c r="F668" i="1" s="1"/>
  <c r="H661" i="1"/>
  <c r="H665" i="1" s="1"/>
  <c r="H668" i="1" s="1"/>
  <c r="H194" i="1"/>
  <c r="G630" i="1" s="1"/>
  <c r="J630" i="1" s="1"/>
  <c r="F51" i="2"/>
  <c r="G36" i="14"/>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24" i="14" l="1"/>
  <c r="I24" i="14" s="1"/>
  <c r="H4" i="14"/>
  <c r="I4" i="14" s="1"/>
  <c r="H36" i="14"/>
  <c r="I36" i="14" s="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<sst xmlns="http://schemas.openxmlformats.org/spreadsheetml/2006/main" count="5581" uniqueCount="1680">
  <si>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</si>
  <si>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</si>
  <si>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</si>
  <si>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</si>
  <si>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</si>
  <si>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</si>
  <si>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</si>
  <si>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</si>
  <si>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</si>
  <si>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</si>
  <si>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</si>
  <si>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</si>
  <si>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</si>
  <si>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</si>
  <si>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</si>
  <si>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</si>
  <si>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</si>
  <si>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</si>
  <si>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</si>
  <si>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</si>
  <si>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</si>
  <si>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</si>
  <si>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</si>
  <si>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</si>
  <si>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</si>
  <si>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</si>
  <si>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</si>
  <si>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</si>
  <si>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</si>
  <si>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</si>
  <si>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</si>
  <si>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</si>
  <si>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</si>
  <si>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</si>
  <si>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</si>
  <si>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</si>
  <si>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</si>
  <si>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</si>
  <si>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</si>
  <si>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</si>
  <si>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</si>
  <si>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</si>
  <si>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</si>
  <si>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</si>
  <si>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</si>
  <si>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</si>
  <si>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</si>
  <si>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</si>
  <si>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</si>
  <si>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</si>
  <si>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</si>
  <si>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</si>
  <si>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</si>
  <si>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</si>
  <si>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</si>
  <si>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</si>
  <si>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</si>
  <si>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</si>
  <si>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</si>
  <si>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</si>
  <si>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</si>
  <si>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</si>
  <si>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</si>
  <si>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</si>
  <si>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</si>
  <si>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</si>
  <si>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</si>
  <si>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</si>
  <si>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</si>
  <si>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</si>
  <si>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</si>
  <si>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</si>
  <si>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</si>
  <si>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</si>
  <si>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</si>
  <si>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</si>
  <si>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</si>
  <si>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</si>
  <si>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</si>
  <si>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</si>
  <si>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</si>
  <si>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</si>
  <si>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</si>
  <si>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</si>
  <si>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</si>
  <si>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</si>
  <si>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</si>
  <si>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</si>
  <si>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</si>
  <si>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</si>
  <si>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</si>
  <si>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</si>
  <si>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</si>
  <si>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</si>
  <si>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</si>
  <si>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</si>
  <si>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</si>
  <si>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</si>
  <si>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</si>
  <si>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</si>
  <si>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</si>
  <si>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</si>
  <si>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</si>
  <si>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</si>
  <si>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</si>
  <si>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</si>
  <si>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</si>
  <si>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</si>
  <si>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</si>
  <si>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</si>
  <si>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</si>
  <si>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</si>
  <si>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</si>
  <si>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</si>
  <si>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</si>
  <si>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</si>
  <si>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</si>
  <si>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</si>
  <si>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</si>
  <si>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</si>
  <si>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</si>
  <si>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</si>
  <si>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</si>
  <si>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</si>
  <si>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</si>
  <si>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</si>
  <si>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</si>
  <si>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</si>
  <si>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</si>
  <si>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</si>
  <si>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</si>
  <si>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</si>
  <si>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</si>
  <si>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</si>
  <si>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</si>
  <si>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</si>
  <si>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</si>
  <si>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</si>
  <si>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</si>
  <si>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</si>
  <si>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</si>
  <si>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</si>
  <si>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</si>
  <si>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</si>
  <si>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</si>
  <si>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</si>
  <si>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</si>
  <si>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</si>
  <si>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</si>
  <si>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</si>
  <si>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</si>
  <si>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</si>
  <si>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</si>
  <si>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</si>
  <si>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</si>
  <si>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</si>
  <si>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</si>
  <si>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</si>
  <si>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</si>
  <si>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</si>
  <si>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</si>
  <si>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</si>
  <si>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</si>
  <si>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</si>
  <si>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</si>
  <si>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</si>
  <si>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</si>
  <si>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</si>
  <si>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</si>
  <si>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</si>
  <si>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</si>
  <si>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</si>
  <si>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</si>
  <si>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</si>
  <si>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</si>
  <si>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</si>
  <si>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</si>
  <si>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</si>
  <si>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</si>
  <si>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</si>
  <si>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</si>
  <si>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</si>
  <si>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</si>
  <si>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</si>
  <si>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</si>
  <si>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</si>
  <si>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</si>
  <si>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</si>
  <si>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</si>
  <si>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</si>
  <si>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</si>
  <si>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</si>
  <si>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</si>
  <si>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</si>
  <si>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</si>
  <si>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</si>
  <si>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</si>
  <si>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</si>
  <si>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</si>
  <si>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</si>
  <si>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</si>
  <si>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</si>
  <si>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</si>
  <si>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</si>
  <si>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</si>
  <si>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</si>
  <si>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</si>
  <si>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</si>
  <si>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</si>
  <si>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</si>
  <si>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</si>
  <si>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</si>
  <si>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</si>
  <si>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</si>
  <si>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</si>
  <si>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</si>
  <si>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</si>
  <si>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</si>
  <si>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</si>
  <si>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</si>
  <si>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</si>
  <si>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</si>
  <si>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</si>
  <si>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</si>
  <si>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</si>
  <si>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</si>
  <si>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</si>
  <si>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</si>
  <si>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</si>
  <si>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</si>
  <si>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</si>
  <si>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</si>
  <si>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</si>
  <si>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</si>
  <si>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</si>
  <si>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</si>
  <si>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</si>
  <si>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</si>
  <si>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</si>
  <si>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</si>
  <si>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</si>
  <si>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</si>
  <si>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</si>
  <si>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</si>
  <si>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</si>
  <si>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</si>
  <si>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</si>
  <si>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</si>
  <si>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</si>
  <si>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</si>
  <si>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</si>
  <si>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</si>
  <si>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</si>
  <si>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</si>
  <si>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</si>
  <si>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</si>
  <si>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</si>
  <si>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</si>
  <si>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</si>
  <si>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</si>
  <si>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</si>
  <si>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</si>
  <si>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</si>
  <si>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</si>
  <si>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</si>
  <si>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</si>
  <si>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</si>
  <si>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</si>
  <si>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</si>
  <si>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</si>
  <si>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</si>
  <si>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</si>
  <si>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</si>
  <si>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</si>
  <si>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</si>
  <si>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</si>
  <si>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</si>
  <si>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</si>
  <si>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</si>
  <si>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</si>
  <si>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</si>
  <si>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</si>
  <si>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</si>
  <si>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</si>
  <si>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</si>
  <si>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</si>
  <si>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</si>
  <si>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</si>
  <si>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</si>
  <si>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</si>
  <si>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</si>
  <si>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</si>
  <si>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</si>
  <si>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</si>
  <si>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</si>
  <si>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</si>
  <si>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</si>
  <si>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</si>
  <si>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</si>
  <si>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</si>
  <si>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</si>
  <si>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</si>
  <si>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</si>
  <si>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</si>
  <si>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</si>
  <si>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</si>
  <si>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</si>
  <si>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</si>
  <si>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</si>
  <si>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</si>
  <si>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</si>
  <si>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</si>
  <si>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</si>
  <si>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</si>
  <si>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</si>
  <si>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</si>
  <si>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</si>
  <si>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</si>
  <si>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</si>
  <si>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</si>
  <si>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</si>
  <si>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</si>
  <si>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</si>
  <si>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</si>
  <si>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</si>
  <si>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</si>
  <si>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</si>
  <si>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</si>
  <si>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</si>
  <si>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</si>
  <si>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</si>
  <si>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</si>
  <si>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</si>
  <si>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</si>
  <si>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</si>
  <si>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</si>
  <si>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</si>
  <si>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</si>
  <si>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</si>
  <si>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</si>
  <si>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</si>
  <si>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</si>
  <si>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</si>
  <si>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</si>
  <si>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</si>
  <si>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</si>
  <si>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</si>
  <si>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</si>
  <si>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</si>
  <si>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</si>
  <si>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</si>
  <si>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</si>
  <si>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</si>
  <si>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</si>
  <si>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</si>
  <si>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</si>
  <si>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</si>
  <si>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</si>
  <si>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</si>
  <si>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</si>
  <si>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</si>
  <si>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</si>
  <si>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</si>
  <si>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</si>
  <si>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</si>
  <si>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</si>
  <si>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</si>
  <si>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</si>
  <si>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</si>
  <si>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</si>
  <si>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</si>
  <si>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</si>
  <si>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</si>
  <si>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</si>
  <si>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</si>
  <si>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</si>
  <si>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</si>
  <si>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</si>
  <si>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</si>
  <si>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</si>
  <si>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</si>
  <si>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</si>
  <si>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</si>
  <si>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</si>
  <si>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</si>
  <si>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</si>
  <si>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</si>
  <si>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</si>
  <si>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</si>
  <si>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</si>
  <si>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</si>
  <si>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</si>
  <si>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</si>
  <si>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</si>
  <si>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</si>
  <si>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</si>
  <si>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</si>
  <si>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</si>
  <si>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</si>
  <si>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</si>
  <si>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</si>
  <si>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</si>
  <si>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</si>
  <si>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</si>
  <si>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</si>
  <si>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</si>
  <si>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</si>
  <si>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</si>
  <si>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</si>
  <si>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</si>
  <si>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</si>
  <si>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</si>
  <si>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</si>
  <si>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</si>
  <si>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</si>
  <si>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</si>
  <si>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</si>
  <si>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</si>
  <si>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</si>
  <si>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</si>
  <si>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</si>
  <si>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</si>
  <si>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</si>
  <si>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</si>
  <si>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</si>
  <si>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</si>
  <si>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</si>
  <si>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</si>
  <si>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</si>
  <si>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</si>
  <si>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</si>
  <si>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</si>
  <si>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</si>
  <si>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</si>
  <si>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</si>
  <si>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</si>
  <si>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</si>
  <si>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</si>
  <si>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</si>
  <si>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</si>
  <si>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</si>
  <si>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</si>
  <si>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</si>
  <si>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</si>
  <si>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</si>
  <si>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</si>
  <si>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</si>
  <si>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</si>
  <si>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</si>
  <si>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</si>
  <si>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</si>
  <si>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</si>
  <si>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</si>
  <si>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</si>
  <si>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</si>
  <si>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</si>
  <si>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</si>
  <si>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</si>
  <si>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</si>
  <si>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</si>
  <si>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</si>
  <si>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</si>
  <si>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</si>
  <si>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</si>
  <si>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</si>
  <si>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</si>
  <si>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</si>
  <si>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</si>
  <si>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</si>
  <si>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</si>
  <si>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</si>
  <si>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</si>
  <si>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</si>
  <si>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</si>
  <si>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</si>
  <si>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</si>
  <si>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</si>
  <si>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</si>
  <si>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</si>
  <si>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</si>
  <si>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</si>
  <si>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</si>
  <si>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</si>
  <si>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</si>
  <si>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</si>
  <si>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</si>
  <si>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</si>
  <si>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</si>
  <si>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</si>
  <si>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</si>
  <si>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</si>
  <si>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</si>
  <si>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</si>
  <si>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</si>
  <si>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</si>
  <si>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</si>
  <si>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</si>
  <si>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</si>
  <si>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</si>
  <si>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</si>
  <si>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</si>
  <si>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</si>
  <si>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</si>
  <si>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</si>
  <si>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</si>
  <si>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</si>
  <si>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</si>
  <si>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</si>
  <si>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</si>
  <si>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</si>
  <si>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</si>
  <si>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</si>
  <si>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</si>
  <si>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</si>
  <si>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</si>
  <si>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</si>
  <si>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</si>
  <si>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</si>
  <si>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</si>
  <si>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</si>
  <si>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</si>
  <si>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</si>
  <si>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</si>
  <si>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</si>
  <si>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</si>
  <si>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</si>
  <si>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</si>
  <si>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</si>
  <si>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</si>
  <si>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</si>
  <si>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</si>
  <si>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</si>
  <si>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</si>
  <si>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</si>
  <si>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</si>
  <si>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</si>
  <si>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</si>
  <si>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</si>
  <si>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</si>
  <si>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</si>
  <si>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</si>
  <si>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</si>
  <si>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</si>
  <si>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</si>
  <si>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</si>
  <si>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</si>
  <si>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</si>
  <si>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</si>
  <si>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</si>
  <si>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</si>
  <si>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</si>
  <si>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</si>
  <si>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</si>
  <si>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</si>
  <si>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</si>
  <si>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</si>
  <si>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</si>
  <si>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</si>
  <si>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</si>
  <si>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</si>
  <si>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</si>
  <si>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</si>
  <si>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</si>
  <si>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</si>
  <si>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</si>
  <si>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</si>
  <si>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</si>
  <si>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</si>
  <si>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</si>
  <si>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</si>
  <si>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</si>
  <si>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</si>
  <si>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</si>
  <si>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</si>
  <si>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</si>
  <si>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</si>
  <si>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</si>
  <si>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</si>
  <si>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</si>
  <si>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</si>
  <si>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</si>
  <si>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</si>
  <si>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</si>
  <si>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</si>
  <si>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</si>
  <si>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</si>
  <si>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</si>
  <si>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</si>
  <si>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</si>
  <si>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</si>
  <si>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</si>
  <si>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</si>
  <si>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</si>
  <si>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</si>
  <si>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</si>
  <si>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</si>
  <si>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</si>
  <si>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</si>
  <si>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</si>
  <si>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</si>
  <si>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</si>
  <si>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</si>
  <si>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</si>
  <si>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</si>
  <si>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</si>
  <si>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</si>
  <si>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</si>
  <si>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</si>
  <si>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</si>
  <si>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</si>
  <si>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</si>
  <si>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</si>
  <si>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</si>
  <si>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</si>
  <si>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</si>
  <si>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</si>
  <si>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</si>
  <si>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</si>
  <si>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</si>
  <si>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</si>
  <si>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</si>
  <si>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</si>
  <si>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</si>
  <si>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</si>
  <si>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</si>
  <si>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</si>
  <si>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</si>
  <si>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</si>
  <si>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</si>
  <si>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</si>
  <si>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</si>
  <si>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</si>
  <si>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</si>
  <si>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</si>
  <si>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</si>
  <si>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</si>
  <si>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</si>
  <si>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</si>
  <si>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</si>
  <si>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</si>
  <si>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</si>
  <si>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</si>
  <si>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</si>
  <si>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</si>
  <si>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</si>
  <si>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</si>
  <si>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</si>
  <si>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</si>
  <si>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</si>
  <si>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</si>
  <si>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</si>
  <si>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</si>
  <si>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</si>
  <si>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</si>
  <si>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</si>
  <si>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</si>
  <si>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</si>
  <si>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</si>
  <si>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</si>
  <si>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</si>
  <si>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</si>
  <si>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</si>
  <si>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</si>
  <si>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</si>
  <si>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</si>
  <si>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</si>
  <si>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</si>
  <si>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</si>
  <si>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</si>
  <si>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</si>
  <si>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</si>
  <si>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</si>
  <si>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</si>
  <si>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</si>
  <si>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</si>
  <si>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</si>
  <si>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</si>
  <si>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</si>
  <si>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</si>
  <si>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</si>
  <si>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</si>
  <si>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</si>
  <si>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</si>
  <si>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</si>
  <si>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</si>
  <si>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</si>
  <si>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</si>
  <si>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</si>
  <si>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</si>
  <si>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</si>
  <si>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</si>
  <si>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</si>
  <si>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</si>
  <si>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</si>
  <si>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</si>
  <si>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</si>
  <si>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</si>
  <si>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</si>
  <si>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</si>
  <si>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</si>
  <si>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</si>
  <si>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</si>
  <si>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</si>
  <si>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</si>
  <si>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</si>
  <si>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</si>
  <si>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</si>
  <si>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</si>
  <si>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</si>
  <si>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</si>
  <si>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</si>
  <si>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</si>
  <si>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</si>
  <si>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</si>
  <si>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</si>
  <si>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</si>
  <si>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</si>
  <si>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</si>
  <si>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</si>
  <si>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</si>
  <si>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</si>
  <si>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</si>
  <si>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</si>
  <si>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</si>
  <si>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</si>
  <si>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</si>
  <si>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</si>
  <si>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</si>
  <si>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</si>
  <si>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</si>
  <si>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</si>
  <si>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</si>
  <si>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</si>
  <si>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</si>
  <si>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</si>
  <si>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</si>
  <si>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</si>
  <si>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</si>
  <si>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</si>
  <si>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</si>
  <si>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</si>
  <si>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</si>
  <si>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</si>
  <si>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</si>
  <si>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</si>
  <si>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</si>
  <si>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</si>
  <si>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</si>
  <si>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</si>
  <si>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</si>
  <si>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</si>
  <si>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</si>
  <si>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</si>
  <si>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</si>
  <si>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</si>
  <si>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</si>
  <si>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</si>
  <si>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</si>
  <si>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</si>
  <si>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</si>
  <si>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</si>
  <si>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</si>
  <si>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</si>
  <si>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</si>
  <si>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</si>
  <si>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</si>
  <si>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</si>
  <si>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</si>
  <si>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</si>
  <si>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</si>
  <si>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</si>
  <si>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</si>
  <si>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</si>
  <si>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</si>
  <si>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</si>
  <si>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</si>
  <si>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</si>
  <si>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</si>
  <si>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</si>
  <si>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</si>
  <si>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</si>
  <si>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</si>
  <si>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</si>
  <si>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</si>
  <si>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</si>
  <si>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</si>
  <si>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</si>
  <si>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</si>
  <si>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</si>
  <si>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</si>
  <si>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</si>
  <si>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</si>
  <si>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</si>
  <si>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</si>
  <si>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</si>
  <si>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</si>
  <si>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</si>
  <si>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</si>
  <si>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</si>
  <si>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</si>
  <si>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</si>
  <si>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</si>
  <si>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</si>
  <si>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</si>
  <si>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</si>
  <si>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</si>
  <si>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</si>
  <si>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</si>
  <si>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</si>
  <si>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</si>
  <si>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</si>
  <si>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</si>
  <si>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</si>
  <si>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</si>
  <si>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</si>
  <si>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</si>
  <si>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</si>
  <si>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</si>
  <si>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</si>
  <si>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</si>
  <si>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</si>
  <si>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</si>
  <si>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</si>
  <si>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</si>
  <si>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</si>
  <si>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</si>
  <si>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</si>
  <si>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</si>
  <si>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</si>
  <si>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</si>
  <si>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</si>
  <si>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</si>
  <si>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</si>
  <si>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</si>
  <si>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</si>
  <si>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</si>
  <si>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</si>
  <si>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</si>
  <si>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</si>
  <si>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</si>
  <si>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</si>
  <si>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</si>
  <si>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</si>
  <si>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</si>
  <si>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</si>
  <si>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</si>
  <si>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</si>
  <si>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</si>
  <si>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</si>
  <si>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</si>
  <si>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</si>
  <si>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</si>
  <si>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</si>
  <si>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</si>
  <si>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</si>
  <si>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</si>
  <si>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</si>
  <si>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</si>
  <si>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</si>
  <si>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</si>
  <si>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</si>
  <si>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</si>
  <si>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</si>
  <si>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</si>
  <si>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</si>
  <si>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</si>
  <si>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</si>
  <si>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</si>
  <si>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</si>
  <si>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</si>
  <si>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</si>
  <si>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</si>
  <si>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</si>
  <si>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</si>
  <si>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</si>
  <si>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</si>
  <si>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</si>
  <si>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</si>
  <si>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</si>
  <si>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</si>
  <si>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</si>
  <si>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</si>
  <si>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</si>
  <si>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</si>
  <si>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</si>
  <si>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</si>
  <si>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</si>
  <si>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</si>
  <si>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</si>
  <si>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</si>
  <si>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</si>
  <si>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</si>
  <si>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</si>
  <si>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</si>
  <si>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</si>
  <si>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</si>
  <si>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</si>
  <si>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</si>
  <si>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</si>
  <si>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</si>
  <si>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</si>
  <si>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</si>
  <si>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</si>
  <si>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</si>
  <si>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</si>
  <si>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</si>
  <si>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</si>
  <si>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</si>
  <si>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</si>
  <si>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</si>
  <si>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</si>
  <si>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</si>
  <si>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</si>
  <si>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</si>
  <si>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</si>
  <si>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</si>
  <si>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</si>
  <si>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</si>
  <si>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</si>
  <si>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</si>
  <si>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</si>
  <si>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</si>
  <si>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</si>
  <si>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</si>
  <si>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</si>
  <si>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</si>
  <si>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</si>
  <si>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</si>
  <si>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</si>
  <si>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</si>
  <si>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</si>
  <si>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</si>
  <si>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</si>
  <si>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</si>
  <si>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</si>
  <si>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</si>
  <si>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</si>
  <si>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</si>
  <si>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</si>
  <si>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</si>
  <si>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</si>
  <si>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</si>
  <si>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</si>
  <si>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</si>
  <si>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</si>
  <si>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</si>
  <si>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</si>
  <si>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</si>
  <si>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</si>
  <si>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</si>
  <si>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</si>
  <si>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</si>
  <si>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</si>
  <si>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</si>
  <si>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</si>
  <si>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</si>
  <si>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</si>
  <si>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</si>
  <si>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</si>
  <si>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</si>
  <si>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</si>
  <si>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</si>
  <si>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</si>
  <si>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</si>
  <si>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</si>
  <si>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</si>
  <si>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</si>
  <si>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</si>
  <si>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</si>
  <si>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</si>
  <si>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</si>
  <si>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</si>
  <si>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</si>
  <si>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</si>
  <si>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</si>
  <si>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</si>
  <si>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</si>
  <si>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</si>
  <si>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</si>
  <si>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</si>
  <si>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</si>
  <si>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</si>
  <si>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</si>
  <si>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</si>
  <si>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</si>
  <si>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</si>
  <si>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</si>
  <si>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</si>
  <si>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</si>
  <si>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</si>
  <si>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</si>
  <si>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</si>
  <si>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</si>
  <si>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</si>
  <si>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</si>
  <si>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</si>
  <si>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</si>
  <si>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</si>
  <si>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</si>
  <si>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</si>
  <si>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</si>
  <si>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</si>
  <si>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</si>
  <si>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</si>
  <si>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</si>
  <si>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</si>
  <si>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</si>
  <si>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</si>
  <si>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</si>
  <si>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</si>
  <si>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</si>
  <si>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</si>
  <si>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</si>
  <si>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</si>
  <si>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</si>
  <si>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</si>
  <si>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</si>
  <si>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</si>
  <si>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</si>
  <si>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</si>
  <si>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</si>
  <si>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</si>
  <si>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</si>
  <si>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</si>
  <si>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</si>
  <si>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</si>
  <si>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</si>
  <si>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</si>
  <si>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</si>
  <si>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</si>
  <si>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</si>
  <si>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</si>
  <si>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</si>
  <si>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</si>
  <si>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</si>
  <si>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</si>
  <si>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</si>
  <si>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</si>
  <si>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</si>
  <si>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</si>
  <si>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</si>
  <si>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</si>
  <si>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</si>
  <si>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</si>
  <si>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</si>
  <si>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</si>
  <si>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</si>
  <si>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</si>
  <si>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</si>
  <si>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</si>
  <si>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</si>
  <si>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</si>
  <si>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</si>
  <si>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</si>
  <si>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</si>
  <si>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</si>
  <si>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</si>
  <si>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</si>
  <si>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</si>
  <si>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</si>
  <si>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</si>
  <si>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</si>
  <si>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</si>
  <si>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</si>
  <si>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</si>
  <si>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</si>
  <si>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</si>
  <si>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</si>
  <si>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</si>
  <si>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</si>
  <si>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</si>
  <si>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</si>
  <si>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</si>
  <si>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</si>
  <si>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</si>
  <si>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</si>
  <si>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</si>
  <si>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</si>
  <si>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</si>
  <si>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</si>
  <si>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</si>
  <si>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</si>
  <si>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</si>
  <si>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</si>
  <si>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</si>
  <si>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</si>
  <si>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</si>
  <si>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</si>
  <si>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</si>
  <si>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</si>
  <si>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</si>
  <si>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</si>
  <si>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</si>
  <si>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</si>
  <si>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</si>
  <si>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</si>
  <si>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</si>
  <si>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</si>
  <si>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</si>
  <si>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</si>
  <si>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</si>
  <si>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</si>
  <si>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</si>
  <si>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</si>
  <si>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</si>
  <si>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</si>
  <si>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</si>
  <si>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</si>
  <si>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</si>
  <si>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</si>
  <si>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</si>
  <si>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</si>
  <si>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</si>
  <si>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</si>
  <si>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</si>
  <si>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</si>
  <si>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</si>
  <si>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</si>
  <si>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</si>
  <si>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</si>
  <si>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</si>
  <si>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</si>
  <si>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</si>
  <si>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</si>
  <si>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</si>
  <si>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</si>
  <si>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</si>
  <si>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</si>
  <si>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</si>
  <si>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</si>
  <si>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</si>
  <si>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</si>
  <si>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</si>
  <si>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</si>
  <si>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</si>
  <si>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</si>
  <si>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</si>
  <si>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</si>
  <si>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</si>
  <si>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</si>
  <si>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</si>
  <si>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</si>
  <si>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</si>
  <si>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</si>
  <si>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</si>
  <si>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</si>
  <si>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</si>
  <si>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</si>
  <si>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</si>
  <si>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</si>
  <si>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</si>
  <si>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</si>
  <si>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</si>
  <si>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</si>
  <si>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</si>
  <si>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</si>
  <si>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</si>
  <si>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</si>
  <si>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</si>
  <si>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</si>
  <si>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</si>
  <si>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</si>
  <si>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</si>
  <si>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</si>
  <si>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</si>
  <si>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</si>
  <si>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</si>
  <si>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</si>
  <si>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</si>
  <si>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</si>
  <si>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</si>
  <si>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</si>
  <si>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</si>
  <si>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</si>
  <si>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</si>
  <si>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</si>
  <si>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</si>
  <si>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</si>
  <si>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</si>
  <si>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</si>
  <si>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</si>
  <si>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</si>
  <si>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</si>
  <si>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</si>
  <si>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</si>
  <si>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</si>
  <si>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</si>
  <si>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</si>
  <si>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</si>
  <si>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</si>
  <si>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</si>
  <si>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</si>
  <si>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</si>
  <si>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</si>
  <si>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</si>
  <si>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</si>
  <si>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</si>
  <si>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</si>
  <si>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</si>
  <si>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</si>
  <si>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</si>
  <si>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</si>
  <si>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</si>
  <si>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</si>
  <si>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</si>
  <si>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</si>
  <si>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</si>
  <si>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</si>
  <si>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</si>
  <si>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</si>
  <si>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</si>
  <si>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</si>
  <si>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</si>
  <si>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</si>
  <si>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</si>
  <si>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</si>
  <si>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</si>
  <si>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</si>
  <si>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</si>
  <si>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</si>
  <si>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</si>
  <si>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</si>
  <si>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</si>
  <si>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</si>
  <si>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</si>
  <si>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</si>
  <si>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</si>
  <si>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</si>
  <si>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</si>
  <si>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</si>
  <si>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</si>
  <si>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</si>
  <si>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</si>
  <si>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</si>
  <si>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</si>
  <si>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</si>
  <si>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</si>
  <si>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</si>
  <si>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</si>
  <si>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</si>
  <si>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</si>
  <si>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</si>
  <si>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</si>
  <si>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</si>
  <si>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</si>
  <si>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</si>
  <si>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</si>
  <si>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</si>
  <si>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</si>
  <si>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</si>
  <si>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</si>
  <si>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</si>
  <si>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</si>
  <si>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</si>
  <si>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</si>
  <si>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</si>
  <si>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</si>
  <si>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</si>
  <si>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</si>
  <si>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</si>
  <si>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</si>
  <si>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</si>
  <si>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</si>
  <si>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</si>
  <si>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</si>
  <si>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</si>
  <si>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</si>
  <si>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</si>
  <si>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</si>
  <si>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</si>
  <si>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</si>
  <si>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</si>
  <si>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</si>
  <si>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</si>
  <si>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</si>
  <si>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</si>
  <si>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</si>
  <si>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</si>
  <si>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</si>
  <si>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</si>
  <si>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</si>
  <si>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</si>
  <si>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</si>
  <si>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</si>
  <si>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</si>
  <si>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</si>
  <si>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</si>
  <si>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</si>
  <si>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</si>
  <si>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</si>
  <si>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</si>
  <si>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</si>
  <si>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</si>
  <si>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</si>
  <si>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</si>
  <si>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</si>
  <si>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</si>
  <si>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</si>
  <si>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</si>
  <si>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</si>
  <si>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</si>
  <si>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</si>
  <si>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</si>
  <si>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</si>
  <si>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</si>
  <si>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</si>
  <si>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</si>
  <si>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</si>
  <si>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</si>
  <si>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</si>
  <si>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</si>
  <si>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</si>
  <si>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</si>
  <si>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</si>
  <si>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</si>
  <si>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</si>
  <si>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</si>
  <si>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</si>
  <si>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</si>
  <si>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</si>
  <si>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</si>
  <si>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</si>
  <si>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</si>
  <si>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</si>
  <si>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</si>
  <si>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</si>
  <si>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</si>
  <si>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</si>
  <si>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</si>
  <si>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</si>
  <si>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</si>
  <si>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</si>
  <si>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</si>
  <si>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</si>
  <si>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</si>
  <si>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</si>
  <si>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</si>
  <si>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</si>
  <si>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</si>
  <si>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</si>
  <si>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</si>
  <si>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</si>
  <si>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</si>
  <si>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</si>
  <si>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</si>
  <si>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</si>
  <si>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</si>
  <si>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</si>
  <si>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</si>
  <si>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</si>
  <si>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</si>
  <si>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</si>
  <si>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</si>
  <si>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</si>
  <si>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</si>
  <si>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</si>
  <si>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</si>
  <si>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</si>
  <si>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</si>
  <si>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</si>
  <si>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</si>
  <si>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</si>
  <si>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</si>
  <si>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</si>
  <si>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</si>
  <si>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</si>
  <si>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</si>
  <si>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</si>
  <si>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</si>
  <si>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</si>
  <si>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</si>
  <si>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</si>
  <si>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</si>
  <si>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</si>
  <si>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</si>
  <si>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</si>
  <si>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</si>
  <si>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</si>
  <si>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</si>
  <si>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</si>
  <si>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</si>
  <si>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</si>
  <si>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</si>
  <si>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</si>
  <si>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</si>
  <si>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</si>
  <si>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</si>
  <si>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</si>
  <si>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</si>
  <si>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</si>
  <si>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</si>
  <si>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</si>
  <si>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</si>
  <si>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</si>
  <si>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</si>
  <si>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</si>
  <si>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</si>
  <si>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</si>
  <si>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</si>
  <si>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</si>
  <si>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</si>
  <si>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</si>
  <si>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</si>
  <si>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</si>
  <si>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</si>
  <si>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</si>
  <si>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</si>
  <si>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</si>
  <si>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</si>
  <si>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</si>
  <si>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</si>
  <si>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</si>
  <si>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</si>
  <si>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</si>
  <si>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</si>
  <si>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</si>
  <si>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</si>
  <si>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</si>
  <si>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</si>
  <si>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</si>
  <si>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</si>
  <si>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</si>
  <si>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</si>
  <si>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</si>
  <si>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</si>
  <si>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</si>
  <si>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</si>
  <si>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</si>
  <si>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</si>
  <si>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</si>
  <si>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</si>
  <si>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</si>
  <si>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</si>
  <si>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</si>
  <si>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</si>
  <si>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</si>
  <si>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</si>
  <si>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</si>
  <si>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</si>
  <si>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</si>
  <si>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</si>
  <si>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</si>
  <si>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</si>
  <si>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</si>
  <si>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</si>
  <si>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</si>
  <si>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</si>
  <si>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</si>
  <si>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</si>
  <si>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</si>
  <si>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</si>
  <si>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</si>
  <si>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</si>
  <si>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</si>
  <si>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</si>
  <si>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</si>
  <si>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</si>
  <si>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</si>
  <si>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</si>
  <si>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</si>
  <si>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</si>
  <si>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</si>
  <si>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</si>
  <si>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</si>
  <si>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</si>
  <si>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</si>
  <si>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</si>
  <si>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</si>
  <si>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</si>
  <si>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</si>
  <si>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</si>
  <si>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</si>
  <si>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</si>
  <si>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</si>
  <si>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</si>
  <si>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</si>
  <si>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</si>
  <si>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</si>
  <si>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</si>
  <si>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</si>
  <si>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</si>
  <si>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</si>
  <si>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</si>
  <si>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</si>
  <si>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</si>
  <si>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</si>
  <si>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</si>
  <si>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</si>
  <si>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</si>
  <si>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</si>
  <si>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</si>
  <si>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</si>
  <si>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</si>
  <si>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</si>
  <si>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</si>
  <si>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</si>
  <si>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</si>
  <si>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</si>
  <si>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</si>
  <si>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</si>
  <si>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</si>
  <si>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</si>
  <si>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</si>
  <si>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</si>
  <si>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</si>
  <si>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</si>
  <si>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</si>
  <si>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</si>
  <si>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</si>
  <si>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</si>
  <si>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</si>
  <si>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</si>
  <si>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</si>
  <si>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</si>
  <si>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</si>
  <si>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</si>
  <si>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</si>
  <si>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</si>
  <si>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</si>
  <si>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</si>
  <si>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</si>
  <si>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</si>
  <si>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</si>
  <si>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</si>
  <si>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</si>
  <si>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</si>
  <si>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</si>
  <si>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</si>
  <si>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</si>
  <si>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</si>
  <si>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</si>
  <si>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</si>
  <si>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</si>
  <si>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</si>
  <si>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</si>
  <si>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</si>
  <si>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</si>
  <si>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</si>
  <si>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</si>
  <si>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</si>
  <si>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</si>
  <si>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</si>
  <si>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</si>
  <si>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</si>
  <si>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</si>
  <si>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</si>
  <si>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</si>
  <si>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</si>
  <si>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</si>
  <si>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</si>
  <si>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</si>
  <si>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</si>
  <si>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</si>
  <si>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</si>
  <si>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</si>
  <si>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</si>
  <si>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</si>
  <si>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</si>
  <si>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</si>
  <si>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</si>
  <si>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</si>
  <si>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</si>
  <si>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</si>
  <si>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</si>
  <si>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</si>
  <si>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</si>
  <si>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</si>
  <si>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</si>
  <si>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</si>
  <si>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</si>
  <si>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</si>
  <si>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</si>
  <si>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</si>
  <si>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</si>
  <si>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</si>
  <si>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</si>
  <si>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</si>
  <si>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</si>
  <si>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</si>
  <si>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</si>
  <si>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</si>
  <si>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</si>
  <si>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</si>
  <si>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</si>
  <si>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</si>
  <si>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</si>
  <si>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</si>
  <si>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</si>
  <si>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</si>
  <si>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</si>
  <si>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</si>
  <si>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</si>
  <si>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</si>
  <si>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</si>
  <si>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</si>
  <si>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</si>
  <si>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</si>
  <si>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</si>
  <si>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</si>
  <si>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</si>
  <si>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</si>
  <si>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</si>
  <si>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</si>
  <si>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</si>
  <si>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</si>
  <si>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</si>
  <si>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</si>
  <si>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</si>
  <si>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</si>
  <si>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</si>
  <si>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</si>
  <si>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</si>
  <si>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</si>
  <si>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</si>
  <si>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</si>
  <si>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</si>
  <si>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</si>
  <si>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</si>
  <si>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</si>
  <si>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</si>
  <si>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</si>
  <si>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</si>
  <si>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</si>
  <si>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</si>
  <si>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</si>
  <si>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</si>
  <si>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</si>
  <si>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</si>
  <si>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</si>
  <si>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</si>
  <si>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</si>
  <si>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</si>
  <si>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</si>
  <si>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</si>
  <si>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</si>
  <si>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</si>
  <si>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</si>
  <si>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</si>
  <si>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</si>
  <si>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</si>
  <si>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</si>
  <si>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</si>
  <si>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</si>
  <si>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</si>
  <si>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</si>
  <si>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</si>
  <si>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</si>
  <si>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</si>
  <si>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</si>
  <si>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</si>
  <si>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</si>
  <si>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</si>
  <si>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</si>
  <si>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</si>
  <si>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</si>
  <si>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</si>
  <si>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</si>
  <si>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</si>
  <si>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</si>
  <si>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</si>
  <si>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</si>
  <si>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</si>
  <si>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</si>
  <si>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</si>
  <si>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</si>
  <si>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</si>
  <si>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</si>
  <si>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</si>
  <si>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</si>
  <si>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</si>
  <si>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</si>
  <si>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</si>
  <si>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06/19</t>
  </si>
  <si>
    <t>08/24</t>
  </si>
  <si>
    <t>Lincoln-Woodstock Cooperative School District</t>
  </si>
  <si>
    <t>Fresh Fruits &amp; Vegetable Grant</t>
  </si>
  <si>
    <t>REAP Grant</t>
  </si>
  <si>
    <t>Local Summer Lunch Program - NHCF</t>
  </si>
  <si>
    <t xml:space="preserve">Deferred revenue from prior year for current </t>
  </si>
  <si>
    <t xml:space="preserve">year warrant article from fund balance.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</si>
</sst>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305</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1585899.29+4098.83</f>
        <v>1589998.12</v>
      </c>
      <c r="G9" s="18"/>
      <c r="H9" s="18"/>
      <c r="I9" s="18"/>
      <c r="J9" s="67">
        <f>SUM(I440)</f>
        <v>295846.49</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1377414.18-82397.95-55900-17049.5-363949.13</f>
        <v>858117.6</v>
      </c>
      <c r="G12" s="18">
        <v>-25378.7</v>
      </c>
      <c r="H12" s="18">
        <f>13136.12+19101.43-1723.8+3874.53+28447.76+3794.88+9549.89-54334.37+37802.29+13944.24+8728.93</f>
        <v>82321.900000000023</v>
      </c>
      <c r="I12" s="18">
        <f>11004.44+55900+17049.5+35686.23</f>
        <v>119640.17000000001</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26147.599999999999</v>
      </c>
      <c r="H13" s="18">
        <f>8188.03+31228.38+41605.2+3625.5+65297.22</f>
        <v>149944.33000000002</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6930.2</v>
      </c>
      <c r="G14" s="18">
        <v>6545.5</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2455045.9200000004</v>
      </c>
      <c r="G19" s="41">
        <f>SUM(G9:G18)</f>
        <v>7314.3999999999978</v>
      </c>
      <c r="H19" s="41">
        <f>SUM(H9:H18)</f>
        <v>232266.23000000004</v>
      </c>
      <c r="I19" s="41">
        <f>SUM(I9:I18)</f>
        <v>119640.17000000001</v>
      </c>
      <c r="J19" s="41">
        <f>SUM(J9:J18)</f>
        <v>295846.49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1082253.4</f>
        <v>1082253.3999999999</v>
      </c>
      <c r="G22" s="18">
        <v>1</v>
      </c>
      <c r="H22" s="18">
        <f>21324.15+50329.81+18360.19+7340+28447.76+676+10962.85+37802.29+12781.48</f>
        <v>188024.53</v>
      </c>
      <c r="I22" s="18">
        <f>83953.94</f>
        <v>83953.94</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391301.54+10199.44-56685.65-2052.81-699</f>
        <v>342063.51999999996</v>
      </c>
      <c r="G28" s="18">
        <v>3753.06</v>
      </c>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f>3118.88</f>
        <v>3118.88</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1424316.92</v>
      </c>
      <c r="G32" s="41">
        <f>SUM(G22:G31)</f>
        <v>3754.06</v>
      </c>
      <c r="H32" s="41">
        <f>SUM(H22:H31)</f>
        <v>191143.41</v>
      </c>
      <c r="I32" s="41">
        <f>SUM(I22:I31)</f>
        <v>83953.94</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3560.34</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f>183894.45+100000+105.55</f>
        <v>284000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150000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-2430+1636.43+15978.53+160.03+5719.87+3830.02+1162.76+8728.93</f>
        <v>34786.57</v>
      </c>
      <c r="I48" s="18"/>
      <c r="J48" s="13">
        <f>SUM(I460)</f>
        <v>295846.49</v>
      </c>
      <c r="K48" s="24" t="s">
        <v>288</v>
      </c>
      <c r="L48" s="24" t="s">
        <v>288</v>
      </c>
      <c r="M48" s="8"/>
      <c r="N48" s="264"/>
    </row>
    <row r="49" spans="1:14" s="3" customFormat="1" ht="12.2" customHeight="1" x14ac:dyDescent="0.15">
      <c r="A49" s="1" t="s">
        <v>859</v>
      </c>
      <c r="B49" s="2" t="s">
        <v>289</v>
      </c>
      <c r="C49" s="6">
        <v>34</v>
      </c>
      <c r="D49" s="2"/>
      <c r="E49" s="6">
        <v>753</v>
      </c>
      <c r="F49" s="18">
        <v>123102.22</v>
      </c>
      <c r="G49" s="18"/>
      <c r="H49" s="18">
        <f>2430+3906.25</f>
        <v>6336.25</v>
      </c>
      <c r="I49" s="18">
        <f>35686.23</f>
        <v>35686.230000000003</v>
      </c>
      <c r="J49" s="13">
        <f>I455</f>
        <v>0</v>
      </c>
      <c r="K49" s="24"/>
      <c r="L49" s="24"/>
      <c r="M49" s="8"/>
      <c r="N49" s="264"/>
    </row>
    <row r="50" spans="1:14" s="3" customFormat="1" ht="12.2" customHeight="1" thickBot="1" x14ac:dyDescent="0.2">
      <c r="A50" s="29" t="s">
        <v>840</v>
      </c>
      <c r="B50" s="2" t="s">
        <v>289</v>
      </c>
      <c r="C50" s="71">
        <v>35</v>
      </c>
      <c r="D50" s="2" t="s">
        <v>653</v>
      </c>
      <c r="E50" s="6">
        <v>770</v>
      </c>
      <c r="F50" s="18">
        <f>679632.33-55900-150000-105.55</f>
        <v>473626.77999999997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1030729</v>
      </c>
      <c r="G51" s="41">
        <f>SUM(G35:G50)</f>
        <v>3560.34</v>
      </c>
      <c r="H51" s="41">
        <f>SUM(H35:H50)</f>
        <v>41122.82</v>
      </c>
      <c r="I51" s="41">
        <f>SUM(I35:I50)</f>
        <v>35686.230000000003</v>
      </c>
      <c r="J51" s="41">
        <f>SUM(J35:J50)</f>
        <v>295846.49</v>
      </c>
      <c r="K51" s="45" t="s">
        <v>288</v>
      </c>
      <c r="L51" s="45" t="s">
        <v>288</v>
      </c>
      <c r="N51" s="262"/>
    </row>
    <row r="52" spans="1:14" s="3" customFormat="1" ht="12.2" customHeight="1" thickTop="1" x14ac:dyDescent="0.15">
      <c r="A52" s="38" t="s">
        <v>455</v>
      </c>
      <c r="B52" s="39" t="s">
        <v>289</v>
      </c>
      <c r="C52" s="6">
        <v>37</v>
      </c>
      <c r="D52" s="39" t="s">
        <v>653</v>
      </c>
      <c r="E52" s="39"/>
      <c r="F52" s="41">
        <f>F51+F32</f>
        <v>2455045.92</v>
      </c>
      <c r="G52" s="41">
        <f>G51+G32</f>
        <v>7314.4</v>
      </c>
      <c r="H52" s="41">
        <f>H51+H32</f>
        <v>232266.23</v>
      </c>
      <c r="I52" s="41">
        <f>I51+I32</f>
        <v>119640.17000000001</v>
      </c>
      <c r="J52" s="41">
        <f>J51+J32</f>
        <v>295846.49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5112574-55900</f>
        <v>5056674</v>
      </c>
      <c r="G57" s="18"/>
      <c r="H57" s="18"/>
      <c r="I57" s="18">
        <v>55900</v>
      </c>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5056674</v>
      </c>
      <c r="G60" s="41">
        <f>SUM(G57:G59)</f>
        <v>0</v>
      </c>
      <c r="H60" s="41">
        <f>SUM(H57:H59)</f>
        <v>0</v>
      </c>
      <c r="I60" s="41">
        <f>SUM(I57:I59)</f>
        <v>55900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0.47</v>
      </c>
      <c r="G96" s="18"/>
      <c r="H96" s="18"/>
      <c r="I96" s="18"/>
      <c r="J96" s="18">
        <v>973</v>
      </c>
      <c r="K96" s="24" t="s">
        <v>288</v>
      </c>
      <c r="L96" s="24" t="s">
        <v>288</v>
      </c>
      <c r="M96" s="8"/>
      <c r="N96" s="264"/>
    </row>
    <row r="97" spans="1:14" s="3" customFormat="1" ht="12.2" customHeight="1" x14ac:dyDescent="0.15">
      <c r="A97" s="1" t="s">
        <v>503</v>
      </c>
      <c r="B97" s="2" t="s">
        <v>315</v>
      </c>
      <c r="C97" s="6">
        <v>12</v>
      </c>
      <c r="D97" s="2" t="s">
        <v>430</v>
      </c>
      <c r="E97" s="6">
        <v>1600</v>
      </c>
      <c r="F97" s="24" t="s">
        <v>288</v>
      </c>
      <c r="G97" s="18">
        <f>5522.14-26.7+925+3116.24-4070.75</f>
        <v>5465.93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30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326</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2468.41</v>
      </c>
      <c r="G110" s="18"/>
      <c r="H110" s="18">
        <v>11032.64</v>
      </c>
      <c r="I110" s="18"/>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2824.88</v>
      </c>
      <c r="G111" s="41">
        <f>SUM(G96:G110)</f>
        <v>5465.93</v>
      </c>
      <c r="H111" s="41">
        <f>SUM(H96:H110)</f>
        <v>11032.64</v>
      </c>
      <c r="I111" s="41">
        <f>SUM(I96:I110)</f>
        <v>0</v>
      </c>
      <c r="J111" s="41">
        <f>SUM(J96:J110)</f>
        <v>973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5059498.88</v>
      </c>
      <c r="G112" s="41">
        <f>G60+G111</f>
        <v>5465.93</v>
      </c>
      <c r="H112" s="41">
        <f>H60+H79+H94+H111</f>
        <v>11032.64</v>
      </c>
      <c r="I112" s="41">
        <f>I60+I111</f>
        <v>55900</v>
      </c>
      <c r="J112" s="41">
        <f>J60+J111</f>
        <v>973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332296.8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2371581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2703877.8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2943.39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5837.09</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1917.2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f>10436-16994.25</f>
        <v>-6558.25</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8780.48</v>
      </c>
      <c r="G136" s="41">
        <f>SUM(G123:G135)</f>
        <v>1917.2</v>
      </c>
      <c r="H136" s="41">
        <f>SUM(H123:H135)</f>
        <v>-6558.25</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2712658.28</v>
      </c>
      <c r="G140" s="41">
        <f>G121+SUM(G136:G137)</f>
        <v>1917.2</v>
      </c>
      <c r="H140" s="41">
        <f>H121+SUM(H136:H139)</f>
        <v>-6558.25</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24005.97</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v>2765.07</v>
      </c>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26771.040000000001</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84680.53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3000+16528.03</f>
        <v>19528.03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135139.01+8296.31</f>
        <v>143435.32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96018.85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80101.61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54600</f>
        <v>54600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69863.03</f>
        <v>69863.03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80101.61</v>
      </c>
      <c r="G163" s="41">
        <f>SUM(G150:G162)</f>
        <v>143435.32</v>
      </c>
      <c r="H163" s="41">
        <f>SUM(H150:H162)</f>
        <v>324690.44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44544.73</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124646.34</v>
      </c>
      <c r="G170" s="41">
        <f>G147+G163+SUM(G164:G169)</f>
        <v>143435.32</v>
      </c>
      <c r="H170" s="41">
        <f>H147+H163+SUM(H164:H169)</f>
        <v>351461.48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20151</v>
      </c>
      <c r="H180" s="18"/>
      <c r="I180" s="18"/>
      <c r="J180" s="18">
        <f>100000+21000</f>
        <v>121000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20151</v>
      </c>
      <c r="H184" s="41">
        <f>SUM(H180:H183)</f>
        <v>0</v>
      </c>
      <c r="I184" s="41">
        <f>SUM(I180:I183)</f>
        <v>0</v>
      </c>
      <c r="J184" s="41">
        <f>SUM(J180:J183)</f>
        <v>121000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20151</v>
      </c>
      <c r="H193" s="41">
        <f>+H184+SUM(H189:H192)</f>
        <v>0</v>
      </c>
      <c r="I193" s="41">
        <f>I178+I184+SUM(I189:I192)</f>
        <v>0</v>
      </c>
      <c r="J193" s="41">
        <f>J184</f>
        <v>121000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7896803.5</v>
      </c>
      <c r="G194" s="47">
        <f>G112+G140+G170+G193</f>
        <v>170969.45</v>
      </c>
      <c r="H194" s="47">
        <f>H112+H140+H170+H193</f>
        <v>355935.87</v>
      </c>
      <c r="I194" s="47">
        <f>I112+I140+I170+I193</f>
        <v>55900</v>
      </c>
      <c r="J194" s="47">
        <f>J112+J140+J193</f>
        <v>121973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822086.17+15255</f>
        <v>837341.17</v>
      </c>
      <c r="G198" s="18">
        <f>304975.97+7143.46+707.72+695.14+60590.04+150487.8+3647.19</f>
        <v>528247.31999999983</v>
      </c>
      <c r="H198" s="18">
        <f>16522.67+1660.51+6152.38</f>
        <v>24335.559999999998</v>
      </c>
      <c r="I198" s="18">
        <f>10462.95+7901.34+2390.46+801.11+3848.5+1548.06</f>
        <v>26952.420000000002</v>
      </c>
      <c r="J198" s="18">
        <f>2382.03+3092.63+1158.63+8173.02+6569.7</f>
        <v>21376.010000000002</v>
      </c>
      <c r="K198" s="18">
        <f>3112.2</f>
        <v>3112.2</v>
      </c>
      <c r="L198" s="19">
        <f>SUM(F198:K198)</f>
        <v>1441364.6799999997</v>
      </c>
      <c r="M198" s="8"/>
      <c r="N198" s="264"/>
    </row>
    <row r="199" spans="1:14" s="3" customFormat="1" ht="12.2" customHeight="1" x14ac:dyDescent="0.15">
      <c r="A199" s="1" t="s">
        <v>439</v>
      </c>
      <c r="B199" s="2" t="s">
        <v>341</v>
      </c>
      <c r="C199" s="2" t="s">
        <v>291</v>
      </c>
      <c r="D199" s="2" t="s">
        <v>431</v>
      </c>
      <c r="E199" s="6">
        <v>1200</v>
      </c>
      <c r="F199" s="18">
        <f>263165.98+6030+11235</f>
        <v>280430.98</v>
      </c>
      <c r="G199" s="18">
        <f>75231.72+2794.76+312.7+19547.46+16043.51+21076.86+1167.54+848.84+1099.97+546.35+49.84</f>
        <v>138719.54999999999</v>
      </c>
      <c r="H199" s="18">
        <f>157916.63+375+3531.7+6.5+2675+15416.66</f>
        <v>179921.49000000002</v>
      </c>
      <c r="I199" s="18">
        <f>1706.96+155.94</f>
        <v>1862.9</v>
      </c>
      <c r="J199" s="18"/>
      <c r="K199" s="18">
        <v>435</v>
      </c>
      <c r="L199" s="19">
        <f>SUM(F199:K199)</f>
        <v>601369.92000000004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126</v>
      </c>
      <c r="G201" s="18">
        <f>9.67+46.07+77.89</f>
        <v>133.63</v>
      </c>
      <c r="H201" s="18"/>
      <c r="I201" s="18"/>
      <c r="J201" s="18"/>
      <c r="K201" s="18"/>
      <c r="L201" s="19">
        <f>SUM(F201:K201)</f>
        <v>259.63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24246.25+58434+18357.11+1962.5</f>
        <v>102999.86</v>
      </c>
      <c r="G203" s="18">
        <f>11605.33+21.84+1549.99+4315.75+107.57+12513.84+459.22+50.88+4263.68+10401.3+259.24+700.04+29.68+1457.92+3267.57+81.44+147.99+130.95+35.6</f>
        <v>51399.83</v>
      </c>
      <c r="H203" s="18">
        <f>1675+7980+29.4+36858.7+113711.58+3308.85+10191+28843.15+1701.9</f>
        <v>204299.58</v>
      </c>
      <c r="I203" s="18">
        <f>29.99+14.99+124.12+126.35+164.01+222.86</f>
        <v>682.31999999999994</v>
      </c>
      <c r="J203" s="18">
        <f>325.31</f>
        <v>325.31</v>
      </c>
      <c r="K203" s="18">
        <f>113.4+179</f>
        <v>292.39999999999998</v>
      </c>
      <c r="L203" s="19">
        <f t="shared" ref="L203:L209" si="0">SUM(F203:K203)</f>
        <v>359999.30000000005</v>
      </c>
      <c r="M203" s="8"/>
      <c r="N203" s="264"/>
    </row>
    <row r="204" spans="1:14" s="3" customFormat="1" ht="12.2" customHeight="1" x14ac:dyDescent="0.15">
      <c r="A204" s="1" t="s">
        <v>443</v>
      </c>
      <c r="B204" s="2" t="s">
        <v>341</v>
      </c>
      <c r="C204" s="2" t="s">
        <v>295</v>
      </c>
      <c r="D204" s="2" t="s">
        <v>431</v>
      </c>
      <c r="E204" s="6">
        <v>2200</v>
      </c>
      <c r="F204" s="18">
        <f>1000+26810.79</f>
        <v>27810.79</v>
      </c>
      <c r="G204" s="18">
        <f>69.82+178+2928+11865+98+12377.64+127.37+24.14+1709.97+811.44+3479.33+118.95</f>
        <v>33787.659999999996</v>
      </c>
      <c r="H204" s="18">
        <f>3066.48</f>
        <v>3066.48</v>
      </c>
      <c r="I204" s="18">
        <f>67.11+2436.5+239.54+105+503.16</f>
        <v>3351.31</v>
      </c>
      <c r="J204" s="18">
        <f>423.56</f>
        <v>423.56</v>
      </c>
      <c r="K204" s="18"/>
      <c r="L204" s="19">
        <f t="shared" si="0"/>
        <v>68439.8</v>
      </c>
      <c r="M204" s="8"/>
      <c r="N204" s="264"/>
    </row>
    <row r="205" spans="1:14" s="3" customFormat="1" ht="12.2" customHeight="1" x14ac:dyDescent="0.15">
      <c r="A205" s="1" t="s">
        <v>444</v>
      </c>
      <c r="B205" s="2" t="s">
        <v>341</v>
      </c>
      <c r="C205" s="2" t="s">
        <v>296</v>
      </c>
      <c r="D205" s="2" t="s">
        <v>431</v>
      </c>
      <c r="E205" s="6">
        <v>2300</v>
      </c>
      <c r="F205" s="18">
        <f>2835+415.8+1680+655.2+159654.33</f>
        <v>165240.32999999999</v>
      </c>
      <c r="G205" s="18">
        <f>216.88+29.5+46.42+128.52+49.69+11.73+24736.52+662.2+286.27+11644.71+7985.79+445+708.31+659.68</f>
        <v>47611.22</v>
      </c>
      <c r="H205" s="18">
        <f>962.16+142.56+770.7+2583.91+4851+10573.22+7833.47+575.81+4788+336.58+391.27+3211.72+349.18+1298.33</f>
        <v>38667.910000000003</v>
      </c>
      <c r="I205" s="18">
        <f>14.09+261.23+171.99+681.61+1063.16+740.33+199.57+30.77</f>
        <v>3162.75</v>
      </c>
      <c r="J205" s="18">
        <f>438.45</f>
        <v>438.45</v>
      </c>
      <c r="K205" s="18">
        <f>1351.77+1048.68+353.04</f>
        <v>2753.49</v>
      </c>
      <c r="L205" s="19">
        <f t="shared" si="0"/>
        <v>257874.15</v>
      </c>
      <c r="M205" s="8"/>
      <c r="N205" s="264"/>
    </row>
    <row r="206" spans="1:14" s="3" customFormat="1" ht="12.2" customHeight="1" x14ac:dyDescent="0.15">
      <c r="A206" s="1" t="s">
        <v>445</v>
      </c>
      <c r="B206" s="2" t="s">
        <v>341</v>
      </c>
      <c r="C206" s="2" t="s">
        <v>297</v>
      </c>
      <c r="D206" s="2" t="s">
        <v>431</v>
      </c>
      <c r="E206" s="6">
        <v>2400</v>
      </c>
      <c r="F206" s="18">
        <f>92933.19</f>
        <v>92933.19</v>
      </c>
      <c r="G206" s="18">
        <f>10079.11+318.44+234.94+6890.49+2421.17+12683.65+412.3+320</f>
        <v>33360.100000000006</v>
      </c>
      <c r="H206" s="18">
        <f>220.08+3033.75+991.38+858.9</f>
        <v>5104.1099999999997</v>
      </c>
      <c r="I206" s="18">
        <f>1511.5+4636.8</f>
        <v>6148.3</v>
      </c>
      <c r="J206" s="18">
        <v>957</v>
      </c>
      <c r="K206" s="18">
        <f>2388.06+65</f>
        <v>2453.06</v>
      </c>
      <c r="L206" s="19">
        <f t="shared" si="0"/>
        <v>140955.75999999998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50429.86</f>
        <v>50429.86</v>
      </c>
      <c r="G208" s="18">
        <f>8841.24+397.98+40.7+3748.72+5632.9+223.73</f>
        <v>18885.27</v>
      </c>
      <c r="H208" s="18">
        <f>41033.9+1287.61+1370.16+5861.42+273+454.93+144.32+141.56</f>
        <v>50566.9</v>
      </c>
      <c r="I208" s="18">
        <f>24405.16+16367.63+22639.09+317.52+284.69</f>
        <v>64014.090000000004</v>
      </c>
      <c r="J208" s="18">
        <f>526.21+285.98+516.6</f>
        <v>1328.79</v>
      </c>
      <c r="K208" s="18">
        <f>25943.49</f>
        <v>25943.49</v>
      </c>
      <c r="L208" s="19">
        <f t="shared" si="0"/>
        <v>211168.4</v>
      </c>
      <c r="M208" s="8"/>
      <c r="N208" s="264"/>
    </row>
    <row r="209" spans="1:14" s="3" customFormat="1" ht="12.2" customHeight="1" x14ac:dyDescent="0.15">
      <c r="A209" s="1" t="s">
        <v>448</v>
      </c>
      <c r="B209" s="2" t="s">
        <v>341</v>
      </c>
      <c r="C209" s="2" t="s">
        <v>300</v>
      </c>
      <c r="D209" s="2" t="s">
        <v>431</v>
      </c>
      <c r="E209" s="6">
        <v>2700</v>
      </c>
      <c r="F209" s="18">
        <f>54</f>
        <v>54</v>
      </c>
      <c r="G209" s="18">
        <f>4.12+0.24</f>
        <v>4.3600000000000003</v>
      </c>
      <c r="H209" s="18">
        <f>1091+43231.89+2237.58+418.62+381.68</f>
        <v>47360.770000000004</v>
      </c>
      <c r="I209" s="18">
        <f>23.91+36.89</f>
        <v>60.8</v>
      </c>
      <c r="J209" s="18"/>
      <c r="K209" s="18"/>
      <c r="L209" s="19">
        <f t="shared" si="0"/>
        <v>47479.930000000008</v>
      </c>
      <c r="M209" s="8"/>
      <c r="N209" s="264"/>
    </row>
    <row r="210" spans="1:14" s="3" customFormat="1" ht="12.2" customHeight="1" x14ac:dyDescent="0.15">
      <c r="A210" s="1" t="s">
        <v>449</v>
      </c>
      <c r="B210" s="2" t="s">
        <v>341</v>
      </c>
      <c r="C210" s="2" t="s">
        <v>343</v>
      </c>
      <c r="D210" s="2" t="s">
        <v>431</v>
      </c>
      <c r="E210" s="6">
        <v>2800</v>
      </c>
      <c r="F210" s="18"/>
      <c r="G210" s="18"/>
      <c r="H210" s="18">
        <v>165.9</v>
      </c>
      <c r="I210" s="18"/>
      <c r="J210" s="18"/>
      <c r="K210" s="18"/>
      <c r="L210" s="19">
        <f>SUM(F210:K210)</f>
        <v>165.9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1557366.1800000002</v>
      </c>
      <c r="G212" s="41">
        <f t="shared" si="1"/>
        <v>852148.93999999983</v>
      </c>
      <c r="H212" s="41">
        <f t="shared" si="1"/>
        <v>553488.70000000007</v>
      </c>
      <c r="I212" s="41">
        <f t="shared" si="1"/>
        <v>106234.89000000001</v>
      </c>
      <c r="J212" s="41">
        <f t="shared" si="1"/>
        <v>24849.120000000006</v>
      </c>
      <c r="K212" s="41">
        <f t="shared" si="1"/>
        <v>34989.64</v>
      </c>
      <c r="L212" s="41">
        <f t="shared" si="1"/>
        <v>3129077.4699999988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493366.02+4620</f>
        <v>497986.02</v>
      </c>
      <c r="G216" s="18">
        <f>169570.75+3797.74+341.11+391.88+34739.3+86369.75+2188.82</f>
        <v>297399.34999999998</v>
      </c>
      <c r="H216" s="18">
        <f>9198.29+1828.58+3576.96+125.28</f>
        <v>14729.110000000002</v>
      </c>
      <c r="I216" s="18">
        <f>3450.12+465.93+6007.16+12+1285+994.34</f>
        <v>12214.55</v>
      </c>
      <c r="J216" s="18">
        <f>1737.42+999+5732.22+381.15</f>
        <v>8849.7899999999991</v>
      </c>
      <c r="K216" s="18">
        <v>2239.6</v>
      </c>
      <c r="L216" s="19">
        <f>SUM(F216:K216)</f>
        <v>833418.42</v>
      </c>
      <c r="M216" s="8"/>
      <c r="N216" s="264"/>
    </row>
    <row r="217" spans="1:14" s="3" customFormat="1" ht="12.2" customHeight="1" x14ac:dyDescent="0.15">
      <c r="A217" s="1" t="s">
        <v>439</v>
      </c>
      <c r="B217" s="2" t="s">
        <v>346</v>
      </c>
      <c r="C217" s="2" t="s">
        <v>291</v>
      </c>
      <c r="D217" s="2" t="s">
        <v>431</v>
      </c>
      <c r="E217" s="6">
        <v>1200</v>
      </c>
      <c r="F217" s="18">
        <f>81051.89+1800+660</f>
        <v>83511.89</v>
      </c>
      <c r="G217" s="18">
        <f>45226.92+857.2+79.5+5725.04+4385.79+7437.55+359.45+44.8+35.99+2.93</f>
        <v>64155.17</v>
      </c>
      <c r="H217" s="18">
        <f>420+2186.35+2.04+9881.83</f>
        <v>12490.22</v>
      </c>
      <c r="I217" s="18"/>
      <c r="J217" s="18"/>
      <c r="K217" s="18"/>
      <c r="L217" s="19">
        <f>SUM(F217:K217)</f>
        <v>160157.28</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f>12093.5+1837.5</f>
        <v>13931</v>
      </c>
      <c r="G219" s="18">
        <f>919.29+307.18+434.95+53.65+137.67+327.07</f>
        <v>2179.8100000000004</v>
      </c>
      <c r="H219" s="18">
        <v>1974</v>
      </c>
      <c r="I219" s="18">
        <v>72</v>
      </c>
      <c r="J219" s="18"/>
      <c r="K219" s="18">
        <v>1363.25</v>
      </c>
      <c r="L219" s="19">
        <f>SUM(F219:K219)</f>
        <v>19520.060000000001</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15009.52+41920.91+11363.99</f>
        <v>68294.420000000013</v>
      </c>
      <c r="G221" s="18">
        <f>7124.85+12.72+959.47+2671.75+66.59+17540.32+338.79+12.11+2878.54+2061.29+4177.16+185.98+433.32+902.37+2022.83+50.42</f>
        <v>41438.51</v>
      </c>
      <c r="H221" s="18">
        <f>1175+4940+18.2+22816.54+10065+677.1</f>
        <v>39691.840000000004</v>
      </c>
      <c r="I221" s="18">
        <f>20.98+156.6+86.63+137.96</f>
        <v>402.16999999999996</v>
      </c>
      <c r="J221" s="18">
        <f>201.39</f>
        <v>201.39</v>
      </c>
      <c r="K221" s="18">
        <f>70.2</f>
        <v>70.2</v>
      </c>
      <c r="L221" s="19">
        <f t="shared" ref="L221:L227" si="2">SUM(F221:K221)</f>
        <v>150098.53000000006</v>
      </c>
      <c r="M221" s="8"/>
      <c r="N221" s="264"/>
    </row>
    <row r="222" spans="1:14" s="3" customFormat="1" ht="12.2" customHeight="1" x14ac:dyDescent="0.15">
      <c r="A222" s="1" t="s">
        <v>443</v>
      </c>
      <c r="B222" s="2" t="s">
        <v>346</v>
      </c>
      <c r="C222" s="2" t="s">
        <v>295</v>
      </c>
      <c r="D222" s="2" t="s">
        <v>431</v>
      </c>
      <c r="E222" s="6">
        <v>2200</v>
      </c>
      <c r="F222" s="18">
        <f>1000+20378.84</f>
        <v>21378.84</v>
      </c>
      <c r="G222" s="18">
        <f>70.4+178+2597+3245+200+8757.23+103.46+19.16+1335.15+502.33+2826.98+90.41</f>
        <v>19925.12</v>
      </c>
      <c r="H222" s="18">
        <f>2012.59+296</f>
        <v>2308.59</v>
      </c>
      <c r="I222" s="18">
        <f>447+702.47+148.29+65+1267.73+311.48</f>
        <v>2941.97</v>
      </c>
      <c r="J222" s="18">
        <f>263.72</f>
        <v>263.72000000000003</v>
      </c>
      <c r="K222" s="18"/>
      <c r="L222" s="19">
        <f t="shared" si="2"/>
        <v>46818.240000000005</v>
      </c>
      <c r="M222" s="8"/>
      <c r="N222" s="264"/>
    </row>
    <row r="223" spans="1:14" s="3" customFormat="1" ht="12.2" customHeight="1" x14ac:dyDescent="0.15">
      <c r="A223" s="1" t="s">
        <v>444</v>
      </c>
      <c r="B223" s="2" t="s">
        <v>346</v>
      </c>
      <c r="C223" s="2" t="s">
        <v>296</v>
      </c>
      <c r="D223" s="2" t="s">
        <v>431</v>
      </c>
      <c r="E223" s="6">
        <v>2300</v>
      </c>
      <c r="F223" s="18">
        <f>1755+257.4+1040+405.6+97446.46</f>
        <v>100904.46</v>
      </c>
      <c r="G223" s="18">
        <f>134.25+18.26+28.81+79.56+30.75+7.26+15313.12+409.88+147.41+7103.72+4943.64+432.32+334.81</f>
        <v>28983.79</v>
      </c>
      <c r="H223" s="18">
        <f>559.4+90.54+477.1+1599.56+3003+6545.32+4849.29+340.12+2964+208.37+242.22+1926.3+234.72+803.72</f>
        <v>23843.66</v>
      </c>
      <c r="I223" s="18">
        <f>8.72+161.93+108.76+424.22+646.43+458.27+123.55</f>
        <v>1931.8799999999999</v>
      </c>
      <c r="J223" s="18">
        <f>271.42</f>
        <v>271.42</v>
      </c>
      <c r="K223" s="18">
        <f>836.81+649.18+160.88</f>
        <v>1646.87</v>
      </c>
      <c r="L223" s="19">
        <f t="shared" si="2"/>
        <v>157582.08000000002</v>
      </c>
      <c r="M223" s="8"/>
      <c r="N223" s="264"/>
    </row>
    <row r="224" spans="1:14" s="3" customFormat="1" ht="12.2" customHeight="1" x14ac:dyDescent="0.15">
      <c r="A224" s="1" t="s">
        <v>445</v>
      </c>
      <c r="B224" s="2" t="s">
        <v>346</v>
      </c>
      <c r="C224" s="2" t="s">
        <v>297</v>
      </c>
      <c r="D224" s="2" t="s">
        <v>431</v>
      </c>
      <c r="E224" s="6">
        <v>2400</v>
      </c>
      <c r="F224" s="18">
        <f>63436.51</f>
        <v>63436.51</v>
      </c>
      <c r="G224" s="18">
        <f>16383.84+382.06+105.25+4511.36+1384.25+9085.96+281.44+56.25</f>
        <v>32190.41</v>
      </c>
      <c r="H224" s="18">
        <f>161.24+1869.38+628.67+531.7</f>
        <v>3190.99</v>
      </c>
      <c r="I224" s="18">
        <f>444.69+2870.4+325</f>
        <v>3640.09</v>
      </c>
      <c r="J224" s="18">
        <f>1021.5</f>
        <v>1021.5</v>
      </c>
      <c r="K224" s="18">
        <f>1286.18+55</f>
        <v>1341.18</v>
      </c>
      <c r="L224" s="19">
        <f t="shared" si="2"/>
        <v>104820.68</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f>61678.42</f>
        <v>61678.42</v>
      </c>
      <c r="G226" s="18">
        <f>17682.48+36.14+4520.73+5498.58+273.66</f>
        <v>28011.59</v>
      </c>
      <c r="H226" s="18">
        <f>6197.27+980.87+424.86+3407.8+2378.27+467.97+83.91+87.63</f>
        <v>14028.579999999998</v>
      </c>
      <c r="I226" s="18">
        <f>14495.14+10179.99+14935.8+514.26+172.39</f>
        <v>40297.579999999994</v>
      </c>
      <c r="J226" s="18">
        <f>59.54+177.04+319.8</f>
        <v>556.38</v>
      </c>
      <c r="K226" s="18">
        <f>5804.42</f>
        <v>5804.42</v>
      </c>
      <c r="L226" s="19">
        <f t="shared" si="2"/>
        <v>150376.97</v>
      </c>
      <c r="M226" s="8"/>
      <c r="N226" s="264"/>
    </row>
    <row r="227" spans="1:14" s="3" customFormat="1" ht="12.2" customHeight="1" x14ac:dyDescent="0.15">
      <c r="A227" s="1" t="s">
        <v>448</v>
      </c>
      <c r="B227" s="2" t="s">
        <v>346</v>
      </c>
      <c r="C227" s="2" t="s">
        <v>300</v>
      </c>
      <c r="D227" s="2" t="s">
        <v>431</v>
      </c>
      <c r="E227" s="6">
        <v>2700</v>
      </c>
      <c r="F227" s="18">
        <f>54</f>
        <v>54</v>
      </c>
      <c r="G227" s="18">
        <f>4.12+0.24</f>
        <v>4.3600000000000003</v>
      </c>
      <c r="H227" s="18">
        <f>28007.9+1009+14840+4975.33+2543.4</f>
        <v>51375.630000000005</v>
      </c>
      <c r="I227" s="18"/>
      <c r="J227" s="18"/>
      <c r="K227" s="18"/>
      <c r="L227" s="19">
        <f t="shared" si="2"/>
        <v>51433.990000000005</v>
      </c>
      <c r="M227" s="8"/>
      <c r="N227" s="264"/>
    </row>
    <row r="228" spans="1:14" s="3" customFormat="1" ht="12.2" customHeight="1" x14ac:dyDescent="0.15">
      <c r="A228" s="1" t="s">
        <v>449</v>
      </c>
      <c r="B228" s="2" t="s">
        <v>346</v>
      </c>
      <c r="C228" s="2" t="s">
        <v>343</v>
      </c>
      <c r="D228" s="2" t="s">
        <v>431</v>
      </c>
      <c r="E228" s="6">
        <v>2800</v>
      </c>
      <c r="F228" s="18"/>
      <c r="G228" s="18"/>
      <c r="H228" s="18">
        <v>102.7</v>
      </c>
      <c r="I228" s="18"/>
      <c r="J228" s="18"/>
      <c r="K228" s="18"/>
      <c r="L228" s="19">
        <f>SUM(F228:K228)</f>
        <v>102.7</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911175.56</v>
      </c>
      <c r="G230" s="41">
        <f>SUM(G216:G229)</f>
        <v>514288.10999999993</v>
      </c>
      <c r="H230" s="41">
        <f>SUM(H216:H229)</f>
        <v>163735.32000000004</v>
      </c>
      <c r="I230" s="41">
        <f>SUM(I216:I229)</f>
        <v>61500.239999999991</v>
      </c>
      <c r="J230" s="41">
        <f>SUM(J216:J229)</f>
        <v>11164.199999999997</v>
      </c>
      <c r="K230" s="41">
        <f t="shared" si="3"/>
        <v>12465.52</v>
      </c>
      <c r="L230" s="41">
        <f t="shared" si="3"/>
        <v>1674328.9500000002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722326.74+23876</f>
        <v>746202.74</v>
      </c>
      <c r="G234" s="18">
        <f>239049.43+4855.78+745+482.19+53815.86+123309.47+3204.61</f>
        <v>425462.33999999997</v>
      </c>
      <c r="H234" s="18">
        <f>11363.27+2210.02+4578.52+15032.4+51.52</f>
        <v>33235.729999999996</v>
      </c>
      <c r="I234" s="18">
        <f>6825.02+11062.08+341.92+24675.59+823.72+1165.62</f>
        <v>44893.950000000004</v>
      </c>
      <c r="J234" s="18">
        <f>9770+355.5+3011.63+976.24+6962.62+8928.46</f>
        <v>30004.45</v>
      </c>
      <c r="K234" s="18">
        <v>3297.95</v>
      </c>
      <c r="L234" s="19">
        <f>SUM(F234:K234)</f>
        <v>1283097.1599999999</v>
      </c>
      <c r="M234" s="8"/>
      <c r="N234" s="264"/>
    </row>
    <row r="235" spans="1:14" s="3" customFormat="1" ht="12.2" customHeight="1" x14ac:dyDescent="0.15">
      <c r="A235" s="1" t="s">
        <v>439</v>
      </c>
      <c r="B235" s="2" t="s">
        <v>350</v>
      </c>
      <c r="C235" s="2" t="s">
        <v>291</v>
      </c>
      <c r="D235" s="2" t="s">
        <v>431</v>
      </c>
      <c r="E235" s="6">
        <v>1200</v>
      </c>
      <c r="F235" s="18">
        <f>92290.45+585</f>
        <v>92875.45</v>
      </c>
      <c r="G235" s="18">
        <f>38085.36+857.2+95.4+6402.11+3598.55+10810.57+409.45</f>
        <v>60258.64</v>
      </c>
      <c r="H235" s="18">
        <f>2690.82+2.51+36689.4-36689.4</f>
        <v>2693.3300000000017</v>
      </c>
      <c r="I235" s="18">
        <v>89.7</v>
      </c>
      <c r="J235" s="18"/>
      <c r="K235" s="18"/>
      <c r="L235" s="19">
        <f>SUM(F235:K235)</f>
        <v>155917.12</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f>46506+6750</f>
        <v>53256</v>
      </c>
      <c r="G237" s="18">
        <f>3475.11+291.82+3211.63+206.32+55+1201.5+501.31</f>
        <v>8942.69</v>
      </c>
      <c r="H237" s="18">
        <v>8796</v>
      </c>
      <c r="I237" s="18">
        <f>14292.32+505.11</f>
        <v>14797.43</v>
      </c>
      <c r="J237" s="18"/>
      <c r="K237" s="18">
        <v>5629.75</v>
      </c>
      <c r="L237" s="19">
        <f>SUM(F237:K237)</f>
        <v>91421.87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18473.23+57755.41+13986.25</f>
        <v>90214.89</v>
      </c>
      <c r="G239" s="18">
        <f>8814.26+16.32+1181.06+3288.21+81.96+24014+457.17+63.15+3968.79+2519.4+6265.75+256.23+533.28+1110.77+2489.48+62.05</f>
        <v>55121.880000000005</v>
      </c>
      <c r="H239" s="18">
        <f>20000+8369.15+296.02+662.45+59.22+1200+6080+22.4+28084.32+1207.8</f>
        <v>65981.36</v>
      </c>
      <c r="I239" s="18">
        <f>32.81+179.33+84.91+169.8</f>
        <v>466.85</v>
      </c>
      <c r="J239" s="18">
        <f>247.86</f>
        <v>247.86</v>
      </c>
      <c r="K239" s="18">
        <f>86.4</f>
        <v>86.4</v>
      </c>
      <c r="L239" s="19">
        <f t="shared" ref="L239:L245" si="4">SUM(F239:K239)</f>
        <v>212119.24</v>
      </c>
      <c r="M239" s="8"/>
      <c r="N239" s="264"/>
    </row>
    <row r="240" spans="1:14" s="3" customFormat="1" ht="12.2" customHeight="1" x14ac:dyDescent="0.15">
      <c r="A240" s="1" t="s">
        <v>443</v>
      </c>
      <c r="B240" s="2" t="s">
        <v>350</v>
      </c>
      <c r="C240" s="2" t="s">
        <v>295</v>
      </c>
      <c r="D240" s="2" t="s">
        <v>431</v>
      </c>
      <c r="E240" s="6">
        <v>2200</v>
      </c>
      <c r="F240" s="18">
        <f>2000+31190.02</f>
        <v>33190.020000000004</v>
      </c>
      <c r="G240" s="18">
        <f>144.2+111.7+178+1104+11226+200+12546.18+167.15+32.15+2090.05+618.15+4566.65+138.37</f>
        <v>33122.600000000006</v>
      </c>
      <c r="H240" s="18">
        <f>2407.78+296+401.72</f>
        <v>3105.5</v>
      </c>
      <c r="I240" s="18">
        <f>450.24+893.69+218.49+108.48+1267.73+383.36</f>
        <v>3321.9900000000002</v>
      </c>
      <c r="J240" s="18">
        <f>323.71</f>
        <v>323.70999999999998</v>
      </c>
      <c r="K240" s="18"/>
      <c r="L240" s="19">
        <f t="shared" si="4"/>
        <v>73063.820000000022</v>
      </c>
      <c r="M240" s="8"/>
      <c r="N240" s="264"/>
    </row>
    <row r="241" spans="1:14" s="3" customFormat="1" ht="12.2" customHeight="1" x14ac:dyDescent="0.15">
      <c r="A241" s="1" t="s">
        <v>444</v>
      </c>
      <c r="B241" s="2" t="s">
        <v>350</v>
      </c>
      <c r="C241" s="2" t="s">
        <v>296</v>
      </c>
      <c r="D241" s="2" t="s">
        <v>431</v>
      </c>
      <c r="E241" s="6">
        <v>2300</v>
      </c>
      <c r="F241" s="18">
        <f>2160+316.8+1280+499.2+119824.93</f>
        <v>124080.93</v>
      </c>
      <c r="G241" s="18">
        <f>165.25+22.3+35.41+97.92+37.9+8.94+19020.88+504.61+204.09+8734.85+6084.47+531.6+445.93</f>
        <v>35894.15</v>
      </c>
      <c r="H241" s="18">
        <f>716.03+110.05+587.2+1968.71+3696+8055.78+5968.36+431.04+3648+256.43+298.12+2370.84+241.1+1049.01</f>
        <v>29396.67</v>
      </c>
      <c r="I241" s="18">
        <f>10.73+200.57+129.98+520.74+782.88+564.05+152.05+30.45</f>
        <v>2391.4499999999998</v>
      </c>
      <c r="J241" s="18">
        <f>334.06</f>
        <v>334.06</v>
      </c>
      <c r="K241" s="18">
        <f>1029.91+20.8+798.99+305.27</f>
        <v>2154.9700000000003</v>
      </c>
      <c r="L241" s="19">
        <f t="shared" si="4"/>
        <v>194252.23</v>
      </c>
      <c r="M241" s="8"/>
      <c r="N241" s="264"/>
    </row>
    <row r="242" spans="1:14" s="3" customFormat="1" ht="12.2" customHeight="1" x14ac:dyDescent="0.15">
      <c r="A242" s="1" t="s">
        <v>445</v>
      </c>
      <c r="B242" s="2" t="s">
        <v>350</v>
      </c>
      <c r="C242" s="2" t="s">
        <v>297</v>
      </c>
      <c r="D242" s="2" t="s">
        <v>431</v>
      </c>
      <c r="E242" s="6">
        <v>2400</v>
      </c>
      <c r="F242" s="18">
        <f>67523.97</f>
        <v>67523.97</v>
      </c>
      <c r="G242" s="18">
        <f>17131.73+408.25+153.51+4810.37+1840.88+9085.96+299.57+68.75</f>
        <v>33799.019999999997</v>
      </c>
      <c r="H242" s="18">
        <f>192.68+2307.37+770.31+654.4+101.5+544.47</f>
        <v>4570.7299999999996</v>
      </c>
      <c r="I242" s="18">
        <f>2009.4+3532.8+1440.9</f>
        <v>6983.1</v>
      </c>
      <c r="J242" s="18">
        <f>1307.52</f>
        <v>1307.52</v>
      </c>
      <c r="K242" s="18">
        <f>1535.01</f>
        <v>1535.01</v>
      </c>
      <c r="L242" s="19">
        <f t="shared" si="4"/>
        <v>115719.34999999999</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f>72162.59+70.65</f>
        <v>72233.239999999991</v>
      </c>
      <c r="G244" s="18">
        <f>17682.48+397.98+47.3+5310.23+6572.59+320.46</f>
        <v>30331.039999999997</v>
      </c>
      <c r="H244" s="18">
        <f>11982.52+1691.83+1043.57+4361.98+2697.06+513.69+107.4+107.86</f>
        <v>22505.910000000003</v>
      </c>
      <c r="I244" s="18">
        <f>18094.59+12432.59+19002.1+703.3+215.09</f>
        <v>50447.67</v>
      </c>
      <c r="J244" s="18">
        <f>73.28+217.9+393.6</f>
        <v>684.78</v>
      </c>
      <c r="K244" s="18">
        <f>6238.61</f>
        <v>6238.61</v>
      </c>
      <c r="L244" s="19">
        <f t="shared" si="4"/>
        <v>182441.24999999997</v>
      </c>
      <c r="M244" s="8"/>
      <c r="N244" s="264"/>
    </row>
    <row r="245" spans="1:14" s="3" customFormat="1" ht="12.2" customHeight="1" x14ac:dyDescent="0.15">
      <c r="A245" s="1" t="s">
        <v>448</v>
      </c>
      <c r="B245" s="2" t="s">
        <v>350</v>
      </c>
      <c r="C245" s="2" t="s">
        <v>300</v>
      </c>
      <c r="D245" s="2" t="s">
        <v>431</v>
      </c>
      <c r="E245" s="6">
        <v>2700</v>
      </c>
      <c r="F245" s="18">
        <f>40.5+162</f>
        <v>202.5</v>
      </c>
      <c r="G245" s="18">
        <f>3.1+12.39</f>
        <v>15.49</v>
      </c>
      <c r="H245" s="18">
        <f>29337.1+50985+11638.59+200</f>
        <v>92160.69</v>
      </c>
      <c r="I245" s="18"/>
      <c r="J245" s="18"/>
      <c r="K245" s="18"/>
      <c r="L245" s="19">
        <f t="shared" si="4"/>
        <v>92378.680000000008</v>
      </c>
      <c r="M245" s="8"/>
      <c r="N245" s="264"/>
    </row>
    <row r="246" spans="1:14" s="3" customFormat="1" ht="12.2" customHeight="1" x14ac:dyDescent="0.15">
      <c r="A246" s="1" t="s">
        <v>449</v>
      </c>
      <c r="B246" s="2" t="s">
        <v>350</v>
      </c>
      <c r="C246" s="2" t="s">
        <v>343</v>
      </c>
      <c r="D246" s="2" t="s">
        <v>431</v>
      </c>
      <c r="E246" s="6">
        <v>2800</v>
      </c>
      <c r="F246" s="18"/>
      <c r="G246" s="18"/>
      <c r="H246" s="18">
        <v>126.4</v>
      </c>
      <c r="I246" s="18"/>
      <c r="J246" s="18"/>
      <c r="K246" s="18"/>
      <c r="L246" s="19">
        <f>SUM(F246:K246)</f>
        <v>126.4</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1279779.74</v>
      </c>
      <c r="G248" s="41">
        <f t="shared" si="5"/>
        <v>682947.85000000009</v>
      </c>
      <c r="H248" s="41">
        <f t="shared" si="5"/>
        <v>262572.32000000007</v>
      </c>
      <c r="I248" s="41">
        <f t="shared" si="5"/>
        <v>123392.14</v>
      </c>
      <c r="J248" s="41">
        <f t="shared" si="5"/>
        <v>32902.380000000005</v>
      </c>
      <c r="K248" s="41">
        <f t="shared" si="5"/>
        <v>18942.689999999999</v>
      </c>
      <c r="L248" s="41">
        <f t="shared" si="5"/>
        <v>2400537.12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3748321.4800000004</v>
      </c>
      <c r="G258" s="41">
        <f t="shared" si="8"/>
        <v>2049384.9</v>
      </c>
      <c r="H258" s="41">
        <f t="shared" si="8"/>
        <v>979796.3400000002</v>
      </c>
      <c r="I258" s="41">
        <f t="shared" si="8"/>
        <v>291127.27</v>
      </c>
      <c r="J258" s="41">
        <f t="shared" si="8"/>
        <v>68915.700000000012</v>
      </c>
      <c r="K258" s="41">
        <f t="shared" si="8"/>
        <v>66397.850000000006</v>
      </c>
      <c r="L258" s="41">
        <f t="shared" si="8"/>
        <v>7203943.5399999991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76500</v>
      </c>
      <c r="L261" s="19">
        <f>SUM(F261:K261)</f>
        <v>76500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16485.75</v>
      </c>
      <c r="L262" s="19">
        <f>SUM(F262:K262)</f>
        <v>16485.75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20151</v>
      </c>
      <c r="L264" s="19">
        <f>SUM(F264:K264)</f>
        <v>20151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121000</v>
      </c>
      <c r="L267" s="19">
        <f t="shared" si="9"/>
        <v>121000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36689.4</v>
      </c>
      <c r="L269" s="19">
        <f t="shared" si="9"/>
        <v>36689.4</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270826.15000000002</v>
      </c>
      <c r="L271" s="41">
        <f t="shared" si="9"/>
        <v>270826.15000000002</v>
      </c>
      <c r="M271" s="8"/>
      <c r="N271" s="264"/>
    </row>
    <row r="272" spans="1:14" s="34" customFormat="1" ht="12.2" customHeight="1" thickTop="1" x14ac:dyDescent="0.2">
      <c r="A272" s="43" t="s">
        <v>464</v>
      </c>
      <c r="B272" s="40">
        <v>10</v>
      </c>
      <c r="C272" s="40">
        <v>18</v>
      </c>
      <c r="D272" s="39" t="s">
        <v>431</v>
      </c>
      <c r="E272" s="40"/>
      <c r="F272" s="42">
        <f t="shared" ref="F272:L272" si="11">F258+F271</f>
        <v>3748321.4800000004</v>
      </c>
      <c r="G272" s="42">
        <f t="shared" si="11"/>
        <v>2049384.9</v>
      </c>
      <c r="H272" s="42">
        <f t="shared" si="11"/>
        <v>979796.3400000002</v>
      </c>
      <c r="I272" s="42">
        <f t="shared" si="11"/>
        <v>291127.27</v>
      </c>
      <c r="J272" s="42">
        <f t="shared" si="11"/>
        <v>68915.700000000012</v>
      </c>
      <c r="K272" s="42">
        <f t="shared" si="11"/>
        <v>337224</v>
      </c>
      <c r="L272" s="42">
        <f t="shared" si="11"/>
        <v>7474769.6899999995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73956+2235</f>
        <v>76191</v>
      </c>
      <c r="G277" s="18">
        <f>4486.41+6238.12+170.97</f>
        <v>10895.499999999998</v>
      </c>
      <c r="H277" s="18">
        <f>1284</f>
        <v>1284</v>
      </c>
      <c r="I277" s="18">
        <f>2765.07</f>
        <v>2765.07</v>
      </c>
      <c r="J277" s="18">
        <f>6457.81+393.82+899+12269</f>
        <v>20019.63</v>
      </c>
      <c r="K277" s="18"/>
      <c r="L277" s="19">
        <f>SUM(F277:K277)</f>
        <v>111155.20000000001</v>
      </c>
      <c r="M277" s="8"/>
      <c r="N277" s="264"/>
    </row>
    <row r="278" spans="1:14" s="3" customFormat="1" ht="12.2" customHeight="1" x14ac:dyDescent="0.15">
      <c r="A278" s="1" t="s">
        <v>439</v>
      </c>
      <c r="B278" s="2" t="s">
        <v>357</v>
      </c>
      <c r="C278" s="2" t="s">
        <v>291</v>
      </c>
      <c r="D278" s="2" t="s">
        <v>431</v>
      </c>
      <c r="E278" s="6">
        <v>1200</v>
      </c>
      <c r="F278" s="18">
        <f>2117.31+2250</f>
        <v>4367.3099999999995</v>
      </c>
      <c r="G278" s="18">
        <f>172.13+101.12</f>
        <v>273.25</v>
      </c>
      <c r="H278" s="18">
        <f>11913.48</f>
        <v>11913.48</v>
      </c>
      <c r="I278" s="18">
        <f>652.53</f>
        <v>652.53</v>
      </c>
      <c r="J278" s="18"/>
      <c r="K278" s="18"/>
      <c r="L278" s="19">
        <f>SUM(F278:K278)</f>
        <v>17206.57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f>850</f>
        <v>850</v>
      </c>
      <c r="G280" s="18">
        <f>65</f>
        <v>65</v>
      </c>
      <c r="H280" s="18"/>
      <c r="I280" s="18"/>
      <c r="J280" s="18"/>
      <c r="K280" s="18"/>
      <c r="L280" s="19">
        <f>SUM(F280:K280)</f>
        <v>915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11053.5+6861</f>
        <v>17914.5</v>
      </c>
      <c r="G282" s="18">
        <f>845.62+524.89</f>
        <v>1370.51</v>
      </c>
      <c r="H282" s="18">
        <f>8400.08</f>
        <v>8400.08</v>
      </c>
      <c r="I282" s="18">
        <f>5312.77</f>
        <v>5312.77</v>
      </c>
      <c r="J282" s="18"/>
      <c r="K282" s="18"/>
      <c r="L282" s="19">
        <f t="shared" ref="L282:L288" si="12">SUM(F282:K282)</f>
        <v>32997.86</v>
      </c>
      <c r="M282" s="8"/>
      <c r="N282" s="264"/>
    </row>
    <row r="283" spans="1:14" s="3" customFormat="1" ht="12.2" customHeight="1" x14ac:dyDescent="0.15">
      <c r="A283" s="1" t="s">
        <v>443</v>
      </c>
      <c r="B283" s="2" t="s">
        <v>357</v>
      </c>
      <c r="C283" s="2" t="s">
        <v>295</v>
      </c>
      <c r="D283" s="2" t="s">
        <v>431</v>
      </c>
      <c r="E283" s="6">
        <v>2200</v>
      </c>
      <c r="F283" s="18">
        <f>990</f>
        <v>990</v>
      </c>
      <c r="G283" s="18"/>
      <c r="H283" s="18">
        <f>8188.03+8340+9529.97</f>
        <v>26058</v>
      </c>
      <c r="I283" s="18"/>
      <c r="J283" s="18"/>
      <c r="K283" s="18"/>
      <c r="L283" s="19">
        <f t="shared" si="12"/>
        <v>27048</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f>4816+921.57+1821.12-13774.48</f>
        <v>-6215.79</v>
      </c>
      <c r="I287" s="18">
        <f>4256.64+1675.46</f>
        <v>5932.1</v>
      </c>
      <c r="J287" s="18">
        <f>839.97+3913.14+4159.03</f>
        <v>8912.14</v>
      </c>
      <c r="K287" s="18">
        <f>2290</f>
        <v>2290</v>
      </c>
      <c r="L287" s="19">
        <f t="shared" si="12"/>
        <v>10918.45</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100312.81</v>
      </c>
      <c r="G291" s="42">
        <f t="shared" si="13"/>
        <v>12604.259999999998</v>
      </c>
      <c r="H291" s="42">
        <f t="shared" si="13"/>
        <v>41439.769999999997</v>
      </c>
      <c r="I291" s="42">
        <f t="shared" si="13"/>
        <v>14662.470000000001</v>
      </c>
      <c r="J291" s="42">
        <f t="shared" si="13"/>
        <v>28931.77</v>
      </c>
      <c r="K291" s="42">
        <f t="shared" si="13"/>
        <v>2290</v>
      </c>
      <c r="L291" s="41">
        <f t="shared" si="13"/>
        <v>200241.08000000002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4470</f>
        <v>4470</v>
      </c>
      <c r="G296" s="18">
        <f>341.97</f>
        <v>341.97</v>
      </c>
      <c r="H296" s="18">
        <f>513.6</f>
        <v>513.6</v>
      </c>
      <c r="I296" s="18"/>
      <c r="J296" s="18">
        <f>5560.36+246.01+899+6990</f>
        <v>13695.369999999999</v>
      </c>
      <c r="K296" s="18"/>
      <c r="L296" s="19">
        <f>SUM(F296:K296)</f>
        <v>19020.939999999999</v>
      </c>
      <c r="M296" s="8"/>
      <c r="N296" s="264"/>
    </row>
    <row r="297" spans="1:14" s="3" customFormat="1" ht="12.2" customHeight="1" x14ac:dyDescent="0.15">
      <c r="A297" s="1" t="s">
        <v>439</v>
      </c>
      <c r="B297" s="2" t="s">
        <v>358</v>
      </c>
      <c r="C297" s="2" t="s">
        <v>291</v>
      </c>
      <c r="D297" s="2" t="s">
        <v>431</v>
      </c>
      <c r="E297" s="6">
        <v>1200</v>
      </c>
      <c r="F297" s="18">
        <f>20793+937.5</f>
        <v>21730.5</v>
      </c>
      <c r="G297" s="18">
        <f>1591+2323+71.72+130.88</f>
        <v>4116.5999999999995</v>
      </c>
      <c r="H297" s="18">
        <f>7880</f>
        <v>7880</v>
      </c>
      <c r="I297" s="18"/>
      <c r="J297" s="18"/>
      <c r="K297" s="18"/>
      <c r="L297" s="19">
        <f>SUM(F297:K297)</f>
        <v>33727.1</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f>294</f>
        <v>294</v>
      </c>
      <c r="L299" s="19">
        <f>SUM(F299:K299)</f>
        <v>294</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f>5200.8</f>
        <v>5200.8</v>
      </c>
      <c r="I301" s="18"/>
      <c r="J301" s="18"/>
      <c r="K301" s="18"/>
      <c r="L301" s="19">
        <f t="shared" ref="L301:L307" si="14">SUM(F301:K301)</f>
        <v>5200.8</v>
      </c>
      <c r="M301" s="8"/>
      <c r="N301" s="264"/>
    </row>
    <row r="302" spans="1:14" s="3" customFormat="1" ht="12.2" customHeight="1" x14ac:dyDescent="0.15">
      <c r="A302" s="1" t="s">
        <v>443</v>
      </c>
      <c r="B302" s="2" t="s">
        <v>358</v>
      </c>
      <c r="C302" s="2" t="s">
        <v>295</v>
      </c>
      <c r="D302" s="2" t="s">
        <v>431</v>
      </c>
      <c r="E302" s="6">
        <v>2200</v>
      </c>
      <c r="F302" s="18">
        <f>990</f>
        <v>990</v>
      </c>
      <c r="G302" s="18"/>
      <c r="H302" s="18"/>
      <c r="I302" s="18"/>
      <c r="J302" s="18"/>
      <c r="K302" s="18"/>
      <c r="L302" s="19">
        <f t="shared" si="14"/>
        <v>990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f>3026.25</f>
        <v>3026.25</v>
      </c>
      <c r="G306" s="18">
        <f>231.57</f>
        <v>231.57</v>
      </c>
      <c r="H306" s="18">
        <f>1975+4816+921.57+1127.36-6470.78</f>
        <v>2369.1500000000005</v>
      </c>
      <c r="I306" s="18">
        <f>3020.38+1086.28</f>
        <v>4106.66</v>
      </c>
      <c r="J306" s="18">
        <f>2422.42+2200</f>
        <v>4622.42</v>
      </c>
      <c r="K306" s="18">
        <f>970+462.15</f>
        <v>1432.15</v>
      </c>
      <c r="L306" s="19">
        <f t="shared" si="14"/>
        <v>15788.2</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30216.75</v>
      </c>
      <c r="G310" s="42">
        <f t="shared" si="15"/>
        <v>4690.1399999999994</v>
      </c>
      <c r="H310" s="42">
        <f t="shared" si="15"/>
        <v>15963.550000000003</v>
      </c>
      <c r="I310" s="42">
        <f t="shared" si="15"/>
        <v>4106.66</v>
      </c>
      <c r="J310" s="42">
        <f t="shared" si="15"/>
        <v>18317.79</v>
      </c>
      <c r="K310" s="42">
        <f t="shared" si="15"/>
        <v>1726.15</v>
      </c>
      <c r="L310" s="41">
        <f t="shared" si="15"/>
        <v>75021.039999999994</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4600</f>
        <v>4600</v>
      </c>
      <c r="G315" s="18">
        <f>351.91</f>
        <v>351.91</v>
      </c>
      <c r="H315" s="18">
        <f>1198.4</f>
        <v>1198.4000000000001</v>
      </c>
      <c r="I315" s="18"/>
      <c r="J315" s="18">
        <f>2457.83+1367.08+1798+11184</f>
        <v>16806.91</v>
      </c>
      <c r="K315" s="18"/>
      <c r="L315" s="19">
        <f>SUM(F315:K315)</f>
        <v>22957.22</v>
      </c>
      <c r="M315" s="8"/>
      <c r="N315" s="264"/>
    </row>
    <row r="316" spans="1:14" s="3" customFormat="1" ht="12.2" customHeight="1" x14ac:dyDescent="0.15">
      <c r="A316" s="1" t="s">
        <v>439</v>
      </c>
      <c r="B316" s="2" t="s">
        <v>359</v>
      </c>
      <c r="C316" s="2" t="s">
        <v>291</v>
      </c>
      <c r="D316" s="2" t="s">
        <v>431</v>
      </c>
      <c r="E316" s="6">
        <v>1200</v>
      </c>
      <c r="F316" s="18">
        <f>1140</f>
        <v>1140</v>
      </c>
      <c r="G316" s="18">
        <f>87.21</f>
        <v>87.21</v>
      </c>
      <c r="H316" s="18">
        <f>7880</f>
        <v>7880</v>
      </c>
      <c r="I316" s="18"/>
      <c r="J316" s="18"/>
      <c r="K316" s="18"/>
      <c r="L316" s="19">
        <f>SUM(F316:K316)</f>
        <v>9107.2099999999991</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f>294</f>
        <v>294</v>
      </c>
      <c r="L318" s="19">
        <f>SUM(F318:K318)</f>
        <v>294</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f>6398.56</f>
        <v>6398.56</v>
      </c>
      <c r="I320" s="18"/>
      <c r="J320" s="18"/>
      <c r="K320" s="18"/>
      <c r="L320" s="19">
        <f t="shared" ref="L320:L326" si="16">SUM(F320:K320)</f>
        <v>6398.56</v>
      </c>
      <c r="M320" s="8"/>
      <c r="N320" s="264"/>
    </row>
    <row r="321" spans="1:14" s="3" customFormat="1" ht="12.2" customHeight="1" x14ac:dyDescent="0.15">
      <c r="A321" s="1" t="s">
        <v>443</v>
      </c>
      <c r="B321" s="2" t="s">
        <v>359</v>
      </c>
      <c r="C321" s="2" t="s">
        <v>295</v>
      </c>
      <c r="D321" s="2" t="s">
        <v>431</v>
      </c>
      <c r="E321" s="6">
        <v>2200</v>
      </c>
      <c r="F321" s="18">
        <f>1020</f>
        <v>1020</v>
      </c>
      <c r="G321" s="18"/>
      <c r="H321" s="18"/>
      <c r="I321" s="18"/>
      <c r="J321" s="18"/>
      <c r="K321" s="18"/>
      <c r="L321" s="19">
        <f t="shared" si="16"/>
        <v>1020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f>2841.93+184.32</f>
        <v>3026.25</v>
      </c>
      <c r="G325" s="18">
        <f>190.15+41.31</f>
        <v>231.46</v>
      </c>
      <c r="H325" s="18">
        <f>1975+4816+921.57+1387.52-6470.78</f>
        <v>2629.3100000000004</v>
      </c>
      <c r="I325" s="18">
        <f>3681.23+1472.03</f>
        <v>5153.26</v>
      </c>
      <c r="J325" s="18">
        <f>3100.44+2200</f>
        <v>5300.4400000000005</v>
      </c>
      <c r="K325" s="18">
        <f>970+564.85</f>
        <v>1534.85</v>
      </c>
      <c r="L325" s="19">
        <f t="shared" si="16"/>
        <v>17875.57</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9786.25</v>
      </c>
      <c r="G329" s="42">
        <f t="shared" si="17"/>
        <v>670.58</v>
      </c>
      <c r="H329" s="42">
        <f t="shared" si="17"/>
        <v>18106.27</v>
      </c>
      <c r="I329" s="42">
        <f t="shared" si="17"/>
        <v>5153.26</v>
      </c>
      <c r="J329" s="42">
        <f t="shared" si="17"/>
        <v>22107.35</v>
      </c>
      <c r="K329" s="42">
        <f t="shared" si="17"/>
        <v>1828.85</v>
      </c>
      <c r="L329" s="41">
        <f t="shared" si="17"/>
        <v>57652.56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140315.81</v>
      </c>
      <c r="G339" s="41">
        <f t="shared" si="20"/>
        <v>17964.98</v>
      </c>
      <c r="H339" s="41">
        <f t="shared" si="20"/>
        <v>75509.59</v>
      </c>
      <c r="I339" s="41">
        <f t="shared" si="20"/>
        <v>23922.39</v>
      </c>
      <c r="J339" s="41">
        <f t="shared" si="20"/>
        <v>69356.91</v>
      </c>
      <c r="K339" s="41">
        <f t="shared" si="20"/>
        <v>5845</v>
      </c>
      <c r="L339" s="41">
        <f t="shared" si="20"/>
        <v>332914.68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140315.81</v>
      </c>
      <c r="G353" s="41">
        <f>G339</f>
        <v>17964.98</v>
      </c>
      <c r="H353" s="41">
        <f>H339</f>
        <v>75509.59</v>
      </c>
      <c r="I353" s="41">
        <f>I339</f>
        <v>23922.39</v>
      </c>
      <c r="J353" s="41">
        <f>J339</f>
        <v>69356.91</v>
      </c>
      <c r="K353" s="47">
        <f>K339+K352</f>
        <v>5845</v>
      </c>
      <c r="L353" s="41">
        <f>L339+L352</f>
        <v>332914.68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2713.14+69668.74-15908.34</f>
        <v>56473.540000000008</v>
      </c>
      <c r="I359" s="18">
        <f>524.36+15908.34</f>
        <v>16432.7</v>
      </c>
      <c r="J359" s="18"/>
      <c r="K359" s="18">
        <v>-2765.07</v>
      </c>
      <c r="L359" s="13">
        <f>SUM(F359:K359)</f>
        <v>70141.17</v>
      </c>
      <c r="M359" s="8"/>
      <c r="N359" s="264"/>
    </row>
    <row r="360" spans="1:22" s="3" customFormat="1" ht="12.2" customHeight="1" x14ac:dyDescent="0.15">
      <c r="A360" s="1" t="s">
        <v>542</v>
      </c>
      <c r="B360" s="2" t="s">
        <v>366</v>
      </c>
      <c r="C360" s="6">
        <v>2</v>
      </c>
      <c r="D360" s="2" t="s">
        <v>431</v>
      </c>
      <c r="E360" s="6"/>
      <c r="F360" s="18"/>
      <c r="G360" s="18"/>
      <c r="H360" s="18">
        <f>1679.56+43128.22-9848.02</f>
        <v>34959.759999999995</v>
      </c>
      <c r="I360" s="18">
        <f>324.61+9848.02</f>
        <v>10172.630000000001</v>
      </c>
      <c r="J360" s="18"/>
      <c r="K360" s="18"/>
      <c r="L360" s="19">
        <f>SUM(F360:K360)</f>
        <v>45132.39</v>
      </c>
      <c r="M360" s="8"/>
      <c r="N360" s="264"/>
    </row>
    <row r="361" spans="1:22" s="3" customFormat="1" ht="12.2" customHeight="1" x14ac:dyDescent="0.15">
      <c r="A361" s="3" t="s">
        <v>543</v>
      </c>
      <c r="B361" s="2" t="s">
        <v>366</v>
      </c>
      <c r="C361" s="6">
        <v>3</v>
      </c>
      <c r="D361" s="2" t="s">
        <v>431</v>
      </c>
      <c r="E361" s="6"/>
      <c r="F361" s="18"/>
      <c r="G361" s="18"/>
      <c r="H361" s="18">
        <f>2215.42+53080.94-12120.64</f>
        <v>43175.72</v>
      </c>
      <c r="I361" s="18">
        <f>399.53+12120.64</f>
        <v>12520.17</v>
      </c>
      <c r="J361" s="18"/>
      <c r="K361" s="18"/>
      <c r="L361" s="19">
        <f>SUM(F361:K361)</f>
        <v>55695.89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134609.02000000002</v>
      </c>
      <c r="I363" s="47">
        <f t="shared" si="22"/>
        <v>39125.5</v>
      </c>
      <c r="J363" s="47">
        <f t="shared" si="22"/>
        <v>0</v>
      </c>
      <c r="K363" s="47">
        <f t="shared" si="22"/>
        <v>-2765.07</v>
      </c>
      <c r="L363" s="47">
        <f t="shared" si="22"/>
        <v>170969.45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15908.34</f>
        <v>15908.34</v>
      </c>
      <c r="G368" s="18">
        <v>9848.02</v>
      </c>
      <c r="H368" s="18">
        <v>12120.64</v>
      </c>
      <c r="I368" s="56">
        <f>SUM(F368:H368)</f>
        <v>37877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524.36</v>
      </c>
      <c r="G369" s="63">
        <v>324.61</v>
      </c>
      <c r="H369" s="63">
        <v>399.53</v>
      </c>
      <c r="I369" s="56">
        <f>SUM(F369:H369)</f>
        <v>1248.5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16432.7</v>
      </c>
      <c r="G370" s="47">
        <f>SUM(G368:G369)</f>
        <v>10172.630000000001</v>
      </c>
      <c r="H370" s="47">
        <f>SUM(H368:H369)</f>
        <v>12520.17</v>
      </c>
      <c r="I370" s="47">
        <f>SUM(I368:I369)</f>
        <v>39125.5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72949.5</v>
      </c>
      <c r="I380" s="18"/>
      <c r="J380" s="18"/>
      <c r="K380" s="18"/>
      <c r="L380" s="13">
        <f t="shared" si="23"/>
        <v>72949.5</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72949.5</v>
      </c>
      <c r="I383" s="41">
        <f t="shared" si="24"/>
        <v>0</v>
      </c>
      <c r="J383" s="47">
        <f t="shared" si="24"/>
        <v>0</v>
      </c>
      <c r="K383" s="47">
        <f t="shared" si="24"/>
        <v>0</v>
      </c>
      <c r="L383" s="47">
        <f t="shared" si="24"/>
        <v>72949.5</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f>60000</f>
        <v>60000</v>
      </c>
      <c r="H397" s="18">
        <f>328.72</f>
        <v>328.72</v>
      </c>
      <c r="I397" s="18"/>
      <c r="J397" s="24" t="s">
        <v>288</v>
      </c>
      <c r="K397" s="24" t="s">
        <v>288</v>
      </c>
      <c r="L397" s="56">
        <f t="shared" si="26"/>
        <v>60328.72</v>
      </c>
      <c r="M397" s="8"/>
      <c r="N397" s="264"/>
    </row>
    <row r="398" spans="1:14" s="3" customFormat="1" ht="12.2" customHeight="1" x14ac:dyDescent="0.15">
      <c r="A398" s="79" t="s">
        <v>515</v>
      </c>
      <c r="B398" s="2" t="s">
        <v>381</v>
      </c>
      <c r="C398" s="6">
        <v>10</v>
      </c>
      <c r="D398" s="2" t="s">
        <v>432</v>
      </c>
      <c r="E398" s="6"/>
      <c r="F398" s="18"/>
      <c r="G398" s="18">
        <f>10000</f>
        <v>10000</v>
      </c>
      <c r="H398" s="18">
        <f>355.8</f>
        <v>355.8</v>
      </c>
      <c r="I398" s="18"/>
      <c r="J398" s="24" t="s">
        <v>288</v>
      </c>
      <c r="K398" s="24" t="s">
        <v>288</v>
      </c>
      <c r="L398" s="56">
        <f t="shared" si="26"/>
        <v>10355.799999999999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f>10000</f>
        <v>10000</v>
      </c>
      <c r="H400" s="18">
        <f>53.78</f>
        <v>53.78</v>
      </c>
      <c r="I400" s="18"/>
      <c r="J400" s="24" t="s">
        <v>288</v>
      </c>
      <c r="K400" s="24" t="s">
        <v>288</v>
      </c>
      <c r="L400" s="56">
        <f t="shared" si="26"/>
        <v>10053.780000000001</v>
      </c>
      <c r="M400" s="8"/>
      <c r="N400" s="264"/>
    </row>
    <row r="401" spans="1:21" s="3" customFormat="1" ht="12.2" customHeight="1" thickBot="1" x14ac:dyDescent="0.2">
      <c r="A401" s="79" t="s">
        <v>510</v>
      </c>
      <c r="B401" s="2" t="s">
        <v>381</v>
      </c>
      <c r="C401" s="6">
        <v>13</v>
      </c>
      <c r="D401" s="2" t="s">
        <v>432</v>
      </c>
      <c r="E401" s="6"/>
      <c r="F401" s="18"/>
      <c r="G401" s="18">
        <f>20000+21000</f>
        <v>41000</v>
      </c>
      <c r="H401" s="18">
        <f>48.55+91.27+51.85+12.62+30.41</f>
        <v>234.7</v>
      </c>
      <c r="I401" s="18">
        <v>0</v>
      </c>
      <c r="J401" s="24" t="s">
        <v>288</v>
      </c>
      <c r="K401" s="24" t="s">
        <v>288</v>
      </c>
      <c r="L401" s="56">
        <f t="shared" si="26"/>
        <v>41234.699999999997</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121000</v>
      </c>
      <c r="H402" s="47">
        <f>SUM(H396:H401)</f>
        <v>973</v>
      </c>
      <c r="I402" s="47">
        <f>SUM(I396:I401)</f>
        <v>0</v>
      </c>
      <c r="J402" s="45" t="s">
        <v>288</v>
      </c>
      <c r="K402" s="45" t="s">
        <v>288</v>
      </c>
      <c r="L402" s="47">
        <f>SUM(L396:L401)</f>
        <v>121973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121000</v>
      </c>
      <c r="H409" s="47">
        <f>H394+H402+H408</f>
        <v>973</v>
      </c>
      <c r="I409" s="47">
        <f>I394+I402+I408</f>
        <v>0</v>
      </c>
      <c r="J409" s="24" t="s">
        <v>288</v>
      </c>
      <c r="K409" s="24" t="s">
        <v>288</v>
      </c>
      <c r="L409" s="47">
        <f>L394+L402+L408</f>
        <v>121973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f>44597.48</f>
        <v>44597.48</v>
      </c>
      <c r="I423" s="18"/>
      <c r="J423" s="18"/>
      <c r="K423" s="18"/>
      <c r="L423" s="56">
        <f t="shared" si="29"/>
        <v>44597.48</v>
      </c>
      <c r="M423" s="8"/>
      <c r="N423" s="264"/>
    </row>
    <row r="424" spans="1:21" s="3" customFormat="1" ht="12.2" customHeight="1" x14ac:dyDescent="0.15">
      <c r="A424" s="79" t="s">
        <v>515</v>
      </c>
      <c r="B424" s="6">
        <v>17</v>
      </c>
      <c r="C424" s="6">
        <v>10</v>
      </c>
      <c r="D424" s="2" t="s">
        <v>432</v>
      </c>
      <c r="E424" s="6"/>
      <c r="F424" s="18"/>
      <c r="G424" s="18"/>
      <c r="H424" s="18"/>
      <c r="I424" s="18"/>
      <c r="J424" s="18"/>
      <c r="K424" s="18">
        <v>183894.45</v>
      </c>
      <c r="L424" s="56">
        <f t="shared" si="29"/>
        <v>183894.45</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f>8724.87</f>
        <v>8724.8700000000008</v>
      </c>
      <c r="K427" s="18"/>
      <c r="L427" s="56">
        <f t="shared" si="29"/>
        <v>8724.8700000000008</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44597.48</v>
      </c>
      <c r="I428" s="47">
        <f t="shared" si="30"/>
        <v>0</v>
      </c>
      <c r="J428" s="47">
        <f t="shared" si="30"/>
        <v>8724.8700000000008</v>
      </c>
      <c r="K428" s="47">
        <f t="shared" si="30"/>
        <v>183894.45</v>
      </c>
      <c r="L428" s="47">
        <f t="shared" si="30"/>
        <v>237216.80000000002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44597.48</v>
      </c>
      <c r="I435" s="47">
        <f t="shared" si="32"/>
        <v>0</v>
      </c>
      <c r="J435" s="47">
        <f t="shared" si="32"/>
        <v>8724.8700000000008</v>
      </c>
      <c r="K435" s="47">
        <f t="shared" si="32"/>
        <v>183894.45</v>
      </c>
      <c r="L435" s="47">
        <f t="shared" si="32"/>
        <v>237216.80000000002</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295846.49</v>
      </c>
      <c r="H440" s="18"/>
      <c r="I440" s="56">
        <f t="shared" ref="I440:I446" si="33">SUM(F440:H440)</f>
        <v>295846.49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295846.49</v>
      </c>
      <c r="H447" s="13">
        <f>SUM(H440:H446)</f>
        <v>0</v>
      </c>
      <c r="I447" s="13">
        <f>SUM(I440:I446)</f>
        <v>295846.49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295846.49</v>
      </c>
      <c r="H460" s="18"/>
      <c r="I460" s="56">
        <f t="shared" si="34"/>
        <v>295846.49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295846.49</v>
      </c>
      <c r="H461" s="83">
        <f>SUM(H455:H460)</f>
        <v>0</v>
      </c>
      <c r="I461" s="83">
        <f>SUM(I455:I460)</f>
        <v>295846.49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295846.49</v>
      </c>
      <c r="H462" s="42">
        <f>H453+H461</f>
        <v>0</v>
      </c>
      <c r="I462" s="42">
        <f>I453+I461</f>
        <v>295846.49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587695.18999999994</v>
      </c>
      <c r="G466" s="18">
        <v>3560.34</v>
      </c>
      <c r="H466" s="18">
        <v>18101.63</v>
      </c>
      <c r="I466" s="18">
        <v>52735.73</v>
      </c>
      <c r="J466" s="18">
        <v>411090.29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7952703.5-55900</f>
        <v>7896803.5</v>
      </c>
      <c r="G469" s="18">
        <v>170969.45</v>
      </c>
      <c r="H469" s="18">
        <v>355935.87</v>
      </c>
      <c r="I469" s="18">
        <f>55900</f>
        <v>55900</v>
      </c>
      <c r="J469" s="18">
        <v>121973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7896803.5</v>
      </c>
      <c r="G471" s="53">
        <f>SUM(G469:G470)</f>
        <v>170969.45</v>
      </c>
      <c r="H471" s="53">
        <f>SUM(H469:H470)</f>
        <v>355935.87</v>
      </c>
      <c r="I471" s="53">
        <f>SUM(I469:I470)</f>
        <v>55900</v>
      </c>
      <c r="J471" s="53">
        <f>SUM(J469:J470)</f>
        <v>121973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7453769.69+21000</f>
        <v>7474769.6900000004</v>
      </c>
      <c r="G473" s="18">
        <v>170969.45</v>
      </c>
      <c r="H473" s="18">
        <v>332914.68</v>
      </c>
      <c r="I473" s="18">
        <v>72949.5</v>
      </c>
      <c r="J473" s="18">
        <v>237216.8</v>
      </c>
      <c r="K473" s="24" t="s">
        <v>288</v>
      </c>
      <c r="L473" s="24" t="s">
        <v>288</v>
      </c>
      <c r="N473" s="263"/>
    </row>
    <row r="474" spans="1:14" s="52" customFormat="1" ht="12.2" customHeight="1" x14ac:dyDescent="0.2">
      <c r="A474" s="93" t="s">
        <v>613</v>
      </c>
      <c r="B474" s="75">
        <v>19</v>
      </c>
      <c r="C474" s="80">
        <v>6</v>
      </c>
      <c r="D474" s="2" t="s">
        <v>432</v>
      </c>
      <c r="E474" s="80"/>
      <c r="F474" s="18">
        <v>-21000</v>
      </c>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7453769.6900000004</v>
      </c>
      <c r="G475" s="53">
        <f>SUM(G473:G474)</f>
        <v>170969.45</v>
      </c>
      <c r="H475" s="53">
        <f>SUM(H473:H474)</f>
        <v>332914.68</v>
      </c>
      <c r="I475" s="53">
        <f>SUM(I473:I474)</f>
        <v>72949.5</v>
      </c>
      <c r="J475" s="53">
        <f>SUM(J473:J474)</f>
        <v>237216.8</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1030728.9999999991</v>
      </c>
      <c r="G477" s="53">
        <f>(G466+G471)- G475</f>
        <v>3560.3399999999965</v>
      </c>
      <c r="H477" s="53">
        <f>(H466+H471)- H475</f>
        <v>41122.820000000007</v>
      </c>
      <c r="I477" s="53">
        <f>(I466+I471)- I475</f>
        <v>35686.23000000001</v>
      </c>
      <c r="J477" s="53">
        <f>(J466+J471)- J475</f>
        <v>295846.49000000005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1678</v>
      </c>
      <c r="B484" s="112"/>
      <c r="C484" s="112"/>
      <c r="D484" s="112"/>
      <c r="E484" s="112"/>
      <c r="F484" s="112"/>
      <c r="G484" s="112"/>
      <c r="H484" s="112"/>
      <c r="I484" s="112" t="s">
        <v>18</v>
      </c>
      <c r="J484" s="112"/>
      <c r="K484" s="95"/>
      <c r="L484" s="95"/>
      <c r="N484" s="263"/>
    </row>
    <row r="485" spans="1:14" s="52" customFormat="1" ht="12.2" customHeight="1" x14ac:dyDescent="0.2">
      <c r="A485" s="174" t="s">
        <v>1679</v>
      </c>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361500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1.49E-2</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f>361500-76500</f>
        <v>285000</v>
      </c>
      <c r="G499" s="204"/>
      <c r="H499" s="204"/>
      <c r="I499" s="204"/>
      <c r="J499" s="204"/>
      <c r="K499" s="205">
        <f t="shared" si="35"/>
        <v>285000</v>
      </c>
      <c r="L499" s="206" t="s">
        <v>288</v>
      </c>
      <c r="N499" s="263"/>
    </row>
    <row r="500" spans="1:14" s="52" customFormat="1" ht="12.2" customHeight="1" thickBot="1" x14ac:dyDescent="0.25">
      <c r="A500" s="22" t="s">
        <v>623</v>
      </c>
      <c r="B500" s="75">
        <v>20</v>
      </c>
      <c r="C500" s="115">
        <v>10</v>
      </c>
      <c r="D500" s="2" t="s">
        <v>432</v>
      </c>
      <c r="E500" s="115"/>
      <c r="F500" s="18">
        <f>56183.94-11010.69-9218.25-7267.5</f>
        <v>28687.5</v>
      </c>
      <c r="G500" s="18"/>
      <c r="H500" s="18"/>
      <c r="I500" s="18"/>
      <c r="J500" s="18"/>
      <c r="K500" s="53">
        <f t="shared" si="35"/>
        <v>28687.5</v>
      </c>
      <c r="L500" s="24" t="s">
        <v>288</v>
      </c>
      <c r="N500" s="263"/>
    </row>
    <row r="501" spans="1:14" s="52" customFormat="1" ht="12.2" customHeight="1" thickTop="1" x14ac:dyDescent="0.2">
      <c r="A501" s="139" t="s">
        <v>624</v>
      </c>
      <c r="B501" s="44">
        <v>20</v>
      </c>
      <c r="C501" s="195">
        <v>11</v>
      </c>
      <c r="D501" s="39" t="s">
        <v>432</v>
      </c>
      <c r="E501" s="195"/>
      <c r="F501" s="42">
        <f>SUM(F499:F500)</f>
        <v>313687.5</v>
      </c>
      <c r="G501" s="42">
        <f>SUM(G499:G500)</f>
        <v>0</v>
      </c>
      <c r="H501" s="42">
        <f>SUM(H499:H500)</f>
        <v>0</v>
      </c>
      <c r="I501" s="42">
        <f>SUM(I499:I500)</f>
        <v>0</v>
      </c>
      <c r="J501" s="42">
        <f>SUM(J499:J500)</f>
        <v>0</v>
      </c>
      <c r="K501" s="42">
        <f t="shared" si="35"/>
        <v>313687.5</v>
      </c>
      <c r="L501" s="45" t="s">
        <v>288</v>
      </c>
      <c r="N501" s="263"/>
    </row>
    <row r="502" spans="1:14" s="52" customFormat="1" ht="12.2" customHeight="1" x14ac:dyDescent="0.2">
      <c r="A502" s="200" t="s">
        <v>651</v>
      </c>
      <c r="B502" s="201">
        <v>20</v>
      </c>
      <c r="C502" s="202">
        <v>12</v>
      </c>
      <c r="D502" s="203" t="s">
        <v>432</v>
      </c>
      <c r="E502" s="202"/>
      <c r="F502" s="204">
        <f>75000</f>
        <v>75000</v>
      </c>
      <c r="G502" s="204"/>
      <c r="H502" s="204"/>
      <c r="I502" s="204"/>
      <c r="J502" s="204"/>
      <c r="K502" s="205">
        <f t="shared" si="35"/>
        <v>75000</v>
      </c>
      <c r="L502" s="206" t="s">
        <v>288</v>
      </c>
      <c r="N502" s="263"/>
    </row>
    <row r="503" spans="1:14" s="52" customFormat="1" ht="12.2" customHeight="1" thickBot="1" x14ac:dyDescent="0.25">
      <c r="A503" s="22" t="s">
        <v>625</v>
      </c>
      <c r="B503" s="75">
        <v>20</v>
      </c>
      <c r="C503" s="115">
        <v>13</v>
      </c>
      <c r="D503" s="2" t="s">
        <v>432</v>
      </c>
      <c r="E503" s="115"/>
      <c r="F503" s="18">
        <f>7267.5+5355</f>
        <v>12622.5</v>
      </c>
      <c r="G503" s="18"/>
      <c r="H503" s="18"/>
      <c r="I503" s="18"/>
      <c r="J503" s="18"/>
      <c r="K503" s="53">
        <f t="shared" si="35"/>
        <v>12622.5</v>
      </c>
      <c r="L503" s="24" t="s">
        <v>288</v>
      </c>
      <c r="N503" s="263"/>
    </row>
    <row r="504" spans="1:14" s="52" customFormat="1" ht="12.2" customHeight="1" thickTop="1" x14ac:dyDescent="0.2">
      <c r="A504" s="139" t="s">
        <v>626</v>
      </c>
      <c r="B504" s="44">
        <v>20</v>
      </c>
      <c r="C504" s="195">
        <v>14</v>
      </c>
      <c r="D504" s="39" t="s">
        <v>432</v>
      </c>
      <c r="E504" s="195"/>
      <c r="F504" s="42">
        <f>SUM(F502:F503)</f>
        <v>87622.5</v>
      </c>
      <c r="G504" s="42">
        <f>SUM(G502:G503)</f>
        <v>0</v>
      </c>
      <c r="H504" s="42">
        <f>SUM(H502:H503)</f>
        <v>0</v>
      </c>
      <c r="I504" s="42">
        <f>SUM(I502:I503)</f>
        <v>0</v>
      </c>
      <c r="J504" s="42">
        <f>SUM(J502:J503)</f>
        <v>0</v>
      </c>
      <c r="K504" s="42">
        <f t="shared" si="35"/>
        <v>87622.5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284798.29</f>
        <v>284798.28999999998</v>
      </c>
      <c r="G522" s="18">
        <v>138992.79999999999</v>
      </c>
      <c r="H522" s="18">
        <f>191834.97</f>
        <v>191834.97</v>
      </c>
      <c r="I522" s="18">
        <f>2515.43</f>
        <v>2515.4299999999998</v>
      </c>
      <c r="J522" s="18"/>
      <c r="K522" s="18">
        <v>435</v>
      </c>
      <c r="L522" s="88">
        <f>SUM(F522:K522)</f>
        <v>618576.49</v>
      </c>
      <c r="N522" s="263"/>
    </row>
    <row r="523" spans="1:14" s="52" customFormat="1" ht="12.2" customHeight="1" x14ac:dyDescent="0.2">
      <c r="A523" s="22" t="s">
        <v>634</v>
      </c>
      <c r="B523" s="105">
        <v>21</v>
      </c>
      <c r="C523" s="115">
        <v>2</v>
      </c>
      <c r="D523" s="2" t="s">
        <v>432</v>
      </c>
      <c r="E523" s="115"/>
      <c r="F523" s="18">
        <f>105242.39</f>
        <v>105242.39</v>
      </c>
      <c r="G523" s="18">
        <v>68271.77</v>
      </c>
      <c r="H523" s="18">
        <f>20370.22</f>
        <v>20370.22</v>
      </c>
      <c r="I523" s="18"/>
      <c r="J523" s="18"/>
      <c r="K523" s="18"/>
      <c r="L523" s="88">
        <f>SUM(F523:K523)</f>
        <v>193884.38</v>
      </c>
      <c r="N523" s="263"/>
    </row>
    <row r="524" spans="1:14" s="52" customFormat="1" ht="12.2" customHeight="1" thickBot="1" x14ac:dyDescent="0.25">
      <c r="A524" s="22" t="s">
        <v>635</v>
      </c>
      <c r="B524" s="105">
        <v>21</v>
      </c>
      <c r="C524" s="115">
        <v>3</v>
      </c>
      <c r="D524" s="2" t="s">
        <v>432</v>
      </c>
      <c r="E524" s="115"/>
      <c r="F524" s="18">
        <v>94015.45</v>
      </c>
      <c r="G524" s="18">
        <v>60345.85</v>
      </c>
      <c r="H524" s="18">
        <f>10573.33</f>
        <v>10573.33</v>
      </c>
      <c r="I524" s="18">
        <v>89.7</v>
      </c>
      <c r="J524" s="18"/>
      <c r="K524" s="18"/>
      <c r="L524" s="88">
        <f>SUM(F524:K524)</f>
        <v>165024.32999999999</v>
      </c>
      <c r="N524" s="263"/>
    </row>
    <row r="525" spans="1:14" s="52" customFormat="1" ht="12.2" customHeight="1" thickTop="1" x14ac:dyDescent="0.2">
      <c r="A525" s="139" t="s">
        <v>63</v>
      </c>
      <c r="B525" s="107">
        <v>21</v>
      </c>
      <c r="C525" s="195">
        <v>4</v>
      </c>
      <c r="D525" s="196" t="s">
        <v>432</v>
      </c>
      <c r="E525" s="195"/>
      <c r="F525" s="108">
        <f>SUM(F522:F524)</f>
        <v>484056.13</v>
      </c>
      <c r="G525" s="108">
        <f t="shared" ref="G525:L525" si="36">SUM(G522:G524)</f>
        <v>267610.42</v>
      </c>
      <c r="H525" s="108">
        <f t="shared" si="36"/>
        <v>222778.52</v>
      </c>
      <c r="I525" s="108">
        <f t="shared" si="36"/>
        <v>2605.1299999999997</v>
      </c>
      <c r="J525" s="108">
        <f t="shared" si="36"/>
        <v>0</v>
      </c>
      <c r="K525" s="108">
        <f t="shared" si="36"/>
        <v>435</v>
      </c>
      <c r="L525" s="89">
        <f t="shared" si="36"/>
        <v>977485.2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1962.5</f>
        <v>1962.5</v>
      </c>
      <c r="G527" s="18">
        <v>314.54000000000002</v>
      </c>
      <c r="H527" s="18">
        <f>203015.26</f>
        <v>203015.26</v>
      </c>
      <c r="I527" s="18"/>
      <c r="J527" s="18"/>
      <c r="K527" s="18"/>
      <c r="L527" s="88">
        <f>SUM(F527:K527)</f>
        <v>205292.30000000002</v>
      </c>
      <c r="M527" s="8"/>
      <c r="N527" s="264"/>
    </row>
    <row r="528" spans="1:14" s="3" customFormat="1" ht="12.2" customHeight="1" x14ac:dyDescent="0.15">
      <c r="A528" s="22" t="s">
        <v>634</v>
      </c>
      <c r="B528" s="105">
        <v>21</v>
      </c>
      <c r="C528" s="115">
        <v>6</v>
      </c>
      <c r="D528" s="2" t="s">
        <v>432</v>
      </c>
      <c r="E528" s="115"/>
      <c r="F528" s="18"/>
      <c r="G528" s="18"/>
      <c r="H528" s="18">
        <v>38759.440000000002</v>
      </c>
      <c r="I528" s="18"/>
      <c r="J528" s="18"/>
      <c r="K528" s="18"/>
      <c r="L528" s="88">
        <f>SUM(F528:K528)</f>
        <v>38759.440000000002</v>
      </c>
      <c r="M528" s="8"/>
      <c r="N528" s="264"/>
    </row>
    <row r="529" spans="1:14" s="3" customFormat="1" ht="12.2" customHeight="1" thickBot="1" x14ac:dyDescent="0.2">
      <c r="A529" s="22" t="s">
        <v>635</v>
      </c>
      <c r="B529" s="118">
        <v>21</v>
      </c>
      <c r="C529" s="118">
        <v>7</v>
      </c>
      <c r="D529" s="2" t="s">
        <v>432</v>
      </c>
      <c r="E529" s="118"/>
      <c r="F529" s="18"/>
      <c r="G529" s="18"/>
      <c r="H529" s="18">
        <v>35690.68</v>
      </c>
      <c r="I529" s="18"/>
      <c r="J529" s="18"/>
      <c r="K529" s="18"/>
      <c r="L529" s="88">
        <f>SUM(F529:K529)</f>
        <v>35690.68</v>
      </c>
      <c r="M529" s="8"/>
      <c r="N529" s="264"/>
    </row>
    <row r="530" spans="1:14" s="3" customFormat="1" ht="12.2" customHeight="1" thickTop="1" x14ac:dyDescent="0.15">
      <c r="A530" s="139" t="s">
        <v>65</v>
      </c>
      <c r="B530" s="107">
        <v>21</v>
      </c>
      <c r="C530" s="107">
        <v>8</v>
      </c>
      <c r="D530" s="158" t="s">
        <v>432</v>
      </c>
      <c r="E530" s="107"/>
      <c r="F530" s="89">
        <f>SUM(F527:F529)</f>
        <v>1962.5</v>
      </c>
      <c r="G530" s="89">
        <f t="shared" ref="G530:L530" si="37">SUM(G527:G529)</f>
        <v>314.54000000000002</v>
      </c>
      <c r="H530" s="89">
        <f t="shared" si="37"/>
        <v>277465.38</v>
      </c>
      <c r="I530" s="89">
        <f t="shared" si="37"/>
        <v>0</v>
      </c>
      <c r="J530" s="89">
        <f t="shared" si="37"/>
        <v>0</v>
      </c>
      <c r="K530" s="89">
        <f t="shared" si="37"/>
        <v>0</v>
      </c>
      <c r="L530" s="89">
        <f t="shared" si="37"/>
        <v>279742.42000000004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30047.37</f>
        <v>30047.37</v>
      </c>
      <c r="G532" s="18">
        <f>13521.32</f>
        <v>13521.32</v>
      </c>
      <c r="H532" s="18"/>
      <c r="I532" s="18"/>
      <c r="J532" s="18"/>
      <c r="K532" s="18"/>
      <c r="L532" s="88">
        <f>SUM(F532:K532)</f>
        <v>43568.69</v>
      </c>
      <c r="M532" s="8"/>
      <c r="N532" s="264"/>
    </row>
    <row r="533" spans="1:14" s="3" customFormat="1" ht="12.2" customHeight="1" x14ac:dyDescent="0.15">
      <c r="A533" s="22" t="s">
        <v>634</v>
      </c>
      <c r="B533" s="105">
        <v>21</v>
      </c>
      <c r="C533" s="105">
        <v>10</v>
      </c>
      <c r="D533" s="2" t="s">
        <v>432</v>
      </c>
      <c r="E533" s="105"/>
      <c r="F533" s="18">
        <f>16389.47</f>
        <v>16389.47</v>
      </c>
      <c r="G533" s="18">
        <f>7375.26</f>
        <v>7375.26</v>
      </c>
      <c r="H533" s="18"/>
      <c r="I533" s="18"/>
      <c r="J533" s="18"/>
      <c r="K533" s="18"/>
      <c r="L533" s="88">
        <f>SUM(F533:K533)</f>
        <v>23764.730000000003</v>
      </c>
      <c r="M533" s="8"/>
      <c r="N533" s="264"/>
    </row>
    <row r="534" spans="1:14" s="3" customFormat="1" ht="12.2" customHeight="1" thickBot="1" x14ac:dyDescent="0.2">
      <c r="A534" s="22" t="s">
        <v>635</v>
      </c>
      <c r="B534" s="105">
        <v>21</v>
      </c>
      <c r="C534" s="105">
        <v>11</v>
      </c>
      <c r="D534" s="2" t="s">
        <v>432</v>
      </c>
      <c r="E534" s="105"/>
      <c r="F534" s="18">
        <f>5463.16</f>
        <v>5463.16</v>
      </c>
      <c r="G534" s="18">
        <f>2458.42</f>
        <v>2458.42</v>
      </c>
      <c r="H534" s="18"/>
      <c r="I534" s="18"/>
      <c r="J534" s="18"/>
      <c r="K534" s="18"/>
      <c r="L534" s="88">
        <f>SUM(F534:K534)</f>
        <v>7921.58</v>
      </c>
      <c r="M534" s="8"/>
      <c r="N534" s="264"/>
    </row>
    <row r="535" spans="1:14" s="3" customFormat="1" ht="12.2" customHeight="1" thickTop="1" x14ac:dyDescent="0.15">
      <c r="A535" s="139" t="s">
        <v>67</v>
      </c>
      <c r="B535" s="107">
        <v>21</v>
      </c>
      <c r="C535" s="107">
        <v>12</v>
      </c>
      <c r="D535" s="158" t="s">
        <v>432</v>
      </c>
      <c r="E535" s="107"/>
      <c r="F535" s="89">
        <f>SUM(F532:F534)</f>
        <v>51900</v>
      </c>
      <c r="G535" s="89">
        <f t="shared" ref="G535:L535" si="38">SUM(G532:G534)</f>
        <v>23355</v>
      </c>
      <c r="H535" s="89">
        <f t="shared" si="38"/>
        <v>0</v>
      </c>
      <c r="I535" s="89">
        <f t="shared" si="38"/>
        <v>0</v>
      </c>
      <c r="J535" s="89">
        <f t="shared" si="38"/>
        <v>0</v>
      </c>
      <c r="K535" s="89">
        <f t="shared" si="38"/>
        <v>0</v>
      </c>
      <c r="L535" s="89">
        <f t="shared" si="38"/>
        <v>75255.000000000015</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f>15849</f>
        <v>15849</v>
      </c>
      <c r="I543" s="18"/>
      <c r="J543" s="18"/>
      <c r="K543" s="18"/>
      <c r="L543" s="88">
        <f>SUM(F543:K543)</f>
        <v>15849</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15849</v>
      </c>
      <c r="I545" s="193">
        <f t="shared" si="40"/>
        <v>0</v>
      </c>
      <c r="J545" s="193">
        <f t="shared" si="40"/>
        <v>0</v>
      </c>
      <c r="K545" s="193">
        <f t="shared" si="40"/>
        <v>0</v>
      </c>
      <c r="L545" s="193">
        <f t="shared" si="40"/>
        <v>15849</v>
      </c>
      <c r="M545" s="8"/>
      <c r="N545" s="264"/>
    </row>
    <row r="546" spans="1:14" s="3" customFormat="1" ht="12.2" customHeight="1" thickTop="1" x14ac:dyDescent="0.15">
      <c r="A546" s="98" t="s">
        <v>72</v>
      </c>
      <c r="B546" s="107">
        <v>21</v>
      </c>
      <c r="C546" s="107">
        <v>21</v>
      </c>
      <c r="D546" s="158" t="s">
        <v>432</v>
      </c>
      <c r="E546" s="107"/>
      <c r="F546" s="89">
        <f>F525+F530+F535+F540+F545</f>
        <v>537918.63</v>
      </c>
      <c r="G546" s="89">
        <f t="shared" ref="G546:L546" si="41">G525+G530+G535+G540+G545</f>
        <v>291279.95999999996</v>
      </c>
      <c r="H546" s="89">
        <f t="shared" si="41"/>
        <v>516092.9</v>
      </c>
      <c r="I546" s="89">
        <f t="shared" si="41"/>
        <v>2605.1299999999997</v>
      </c>
      <c r="J546" s="89">
        <f t="shared" si="41"/>
        <v>0</v>
      </c>
      <c r="K546" s="89">
        <f t="shared" si="41"/>
        <v>435</v>
      </c>
      <c r="L546" s="89">
        <f t="shared" si="41"/>
        <v>1348331.62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618576.49</v>
      </c>
      <c r="G550" s="87">
        <f>L527</f>
        <v>205292.30000000002</v>
      </c>
      <c r="H550" s="87">
        <f>L532</f>
        <v>43568.69</v>
      </c>
      <c r="I550" s="87">
        <f>L537</f>
        <v>0</v>
      </c>
      <c r="J550" s="87">
        <f>L542</f>
        <v>0</v>
      </c>
      <c r="K550" s="87">
        <f>SUM(F550:J550)</f>
        <v>867437.48</v>
      </c>
      <c r="L550" s="24" t="s">
        <v>288</v>
      </c>
      <c r="M550" s="8"/>
      <c r="N550" s="264"/>
    </row>
    <row r="551" spans="1:14" s="3" customFormat="1" ht="12.2" customHeight="1" x14ac:dyDescent="0.15">
      <c r="A551" s="22" t="s">
        <v>634</v>
      </c>
      <c r="B551" s="75">
        <v>21</v>
      </c>
      <c r="C551" s="75">
        <v>23</v>
      </c>
      <c r="D551" s="2" t="s">
        <v>432</v>
      </c>
      <c r="E551" s="75"/>
      <c r="F551" s="87">
        <f>L523</f>
        <v>193884.38</v>
      </c>
      <c r="G551" s="87">
        <f>L528</f>
        <v>38759.440000000002</v>
      </c>
      <c r="H551" s="87">
        <f>L533</f>
        <v>23764.730000000003</v>
      </c>
      <c r="I551" s="87">
        <f>L538</f>
        <v>0</v>
      </c>
      <c r="J551" s="87">
        <f>L543</f>
        <v>15849</v>
      </c>
      <c r="K551" s="87">
        <f>SUM(F551:J551)</f>
        <v>272257.55000000005</v>
      </c>
      <c r="L551" s="24" t="s">
        <v>288</v>
      </c>
      <c r="M551" s="8"/>
      <c r="N551" s="264"/>
    </row>
    <row r="552" spans="1:14" s="3" customFormat="1" ht="12.2" customHeight="1" thickBot="1" x14ac:dyDescent="0.2">
      <c r="A552" s="22" t="s">
        <v>635</v>
      </c>
      <c r="B552" s="75">
        <v>21</v>
      </c>
      <c r="C552" s="75">
        <v>24</v>
      </c>
      <c r="D552" s="2" t="s">
        <v>432</v>
      </c>
      <c r="E552" s="75"/>
      <c r="F552" s="87">
        <f>L524</f>
        <v>165024.32999999999</v>
      </c>
      <c r="G552" s="87">
        <f>L529</f>
        <v>35690.68</v>
      </c>
      <c r="H552" s="87">
        <f>L534</f>
        <v>7921.58</v>
      </c>
      <c r="I552" s="87">
        <f>L539</f>
        <v>0</v>
      </c>
      <c r="J552" s="87">
        <f>L544</f>
        <v>0</v>
      </c>
      <c r="K552" s="87">
        <f>SUM(F552:J552)</f>
        <v>208636.58999999997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977485.2</v>
      </c>
      <c r="G553" s="89">
        <f t="shared" si="42"/>
        <v>279742.42000000004</v>
      </c>
      <c r="H553" s="89">
        <f t="shared" si="42"/>
        <v>75255.000000000015</v>
      </c>
      <c r="I553" s="89">
        <f t="shared" si="42"/>
        <v>0</v>
      </c>
      <c r="J553" s="89">
        <f t="shared" si="42"/>
        <v>15849</v>
      </c>
      <c r="K553" s="89">
        <f t="shared" si="42"/>
        <v>1348331.62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2675</v>
      </c>
      <c r="G583" s="18">
        <v>9881.83</v>
      </c>
      <c r="H583" s="18"/>
      <c r="I583" s="87">
        <f t="shared" si="47"/>
        <v>12556.83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54+4.12+0.24+1091+43231.89+2237.58+23.91+36.89</f>
        <v>46679.630000000005</v>
      </c>
      <c r="I592" s="18">
        <f>54+4.12+0.24+28007.9</f>
        <v>28066.260000000002</v>
      </c>
      <c r="J592" s="18">
        <f>29337.1</f>
        <v>29337.1</v>
      </c>
      <c r="K592" s="104">
        <f t="shared" ref="K592:K598" si="48">SUM(H592:J592)</f>
        <v>104082.99000000002</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v>15849</v>
      </c>
      <c r="J593" s="18"/>
      <c r="K593" s="104">
        <f t="shared" si="48"/>
        <v>15849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f>50985</f>
        <v>50985</v>
      </c>
      <c r="K594" s="104">
        <f t="shared" si="48"/>
        <v>50985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f>4975.33</f>
        <v>4975.33</v>
      </c>
      <c r="J595" s="18">
        <f>40.5+3.1+11638.59</f>
        <v>11682.19</v>
      </c>
      <c r="K595" s="104">
        <f t="shared" si="48"/>
        <v>16657.52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f>418.62+381.68</f>
        <v>800.3</v>
      </c>
      <c r="I596" s="18">
        <f>2543.4</f>
        <v>2543.4</v>
      </c>
      <c r="J596" s="18">
        <f>162+12.39+200</f>
        <v>374.39</v>
      </c>
      <c r="K596" s="104">
        <f t="shared" si="48"/>
        <v>3718.0899999999997</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47479.930000000008</v>
      </c>
      <c r="I599" s="108">
        <f>SUM(I592:I598)</f>
        <v>51433.990000000005</v>
      </c>
      <c r="J599" s="108">
        <f>SUM(J592:J598)</f>
        <v>92378.680000000008</v>
      </c>
      <c r="K599" s="108">
        <f>SUM(K592:K598)</f>
        <v>191292.6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21376.01+325.31+423.56+438.45+957+812.19+516.6+4753.11+6457.81+393.82+13168+4159.03</f>
        <v>53780.89</v>
      </c>
      <c r="I605" s="18">
        <f>8849.79+201.39+263.72+271.42+1021.5+236.58+319.8+2422.42+5560.36+246.01+7889+2200</f>
        <v>29481.989999999998</v>
      </c>
      <c r="J605" s="18">
        <f>30004.45+247.86+323.71+334.06+1307.52+291.18+393.6+3100.44+2457.83+1367.08+12982+2200</f>
        <v>55009.73000000001</v>
      </c>
      <c r="K605" s="104">
        <f>SUM(H605:J605)</f>
        <v>138272.61000000002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53780.89</v>
      </c>
      <c r="I606" s="108">
        <f>SUM(I603:I605)</f>
        <v>29481.989999999998</v>
      </c>
      <c r="J606" s="108">
        <f>SUM(J603:J605)</f>
        <v>55009.73000000001</v>
      </c>
      <c r="K606" s="108">
        <f>SUM(K603:K605)</f>
        <v>138272.61000000002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126+11235+2250+850</f>
        <v>14461</v>
      </c>
      <c r="G612" s="18">
        <f>9.67+46.07+77.89+848.84+1099.97+546.35+49.84+172.13+101.12+65</f>
        <v>3016.88</v>
      </c>
      <c r="H612" s="18">
        <f>15416.66</f>
        <v>15416.66</v>
      </c>
      <c r="I612" s="18"/>
      <c r="J612" s="18"/>
      <c r="K612" s="18"/>
      <c r="L612" s="88">
        <f>SUM(F612:K612)</f>
        <v>32894.54</v>
      </c>
      <c r="M612" s="8"/>
      <c r="N612" s="264"/>
    </row>
    <row r="613" spans="1:14" s="3" customFormat="1" ht="12.2" customHeight="1" x14ac:dyDescent="0.15">
      <c r="A613" s="22" t="s">
        <v>634</v>
      </c>
      <c r="B613" s="75">
        <v>23</v>
      </c>
      <c r="C613" s="75">
        <v>14</v>
      </c>
      <c r="D613" s="2" t="s">
        <v>432</v>
      </c>
      <c r="E613" s="75"/>
      <c r="F613" s="18">
        <f>1837.5+660+937.5</f>
        <v>3435</v>
      </c>
      <c r="G613" s="18">
        <f>137.67+327.07+44.8+35.99+2.93+71.72+130.88</f>
        <v>751.06</v>
      </c>
      <c r="H613" s="18"/>
      <c r="I613" s="18"/>
      <c r="J613" s="18"/>
      <c r="K613" s="18"/>
      <c r="L613" s="88">
        <f>SUM(F613:K613)</f>
        <v>4186.0599999999995</v>
      </c>
      <c r="M613" s="8"/>
      <c r="N613" s="264"/>
    </row>
    <row r="614" spans="1:14" s="3" customFormat="1" ht="12.2" customHeight="1" thickBot="1" x14ac:dyDescent="0.2">
      <c r="A614" s="22" t="s">
        <v>645</v>
      </c>
      <c r="B614" s="75">
        <v>23</v>
      </c>
      <c r="C614" s="75">
        <v>15</v>
      </c>
      <c r="D614" s="2" t="s">
        <v>432</v>
      </c>
      <c r="E614" s="75"/>
      <c r="F614" s="18">
        <f>6750</f>
        <v>6750</v>
      </c>
      <c r="G614" s="18">
        <f>501.31+1201.5</f>
        <v>1702.81</v>
      </c>
      <c r="H614" s="18"/>
      <c r="I614" s="18">
        <v>505.11</v>
      </c>
      <c r="J614" s="18"/>
      <c r="K614" s="18"/>
      <c r="L614" s="88">
        <f>SUM(F614:K614)</f>
        <v>8957.92</v>
      </c>
      <c r="M614" s="8"/>
      <c r="N614" s="264"/>
    </row>
    <row r="615" spans="1:14" s="3" customFormat="1" ht="12.2" customHeight="1" thickTop="1" x14ac:dyDescent="0.15">
      <c r="A615" s="98" t="s">
        <v>340</v>
      </c>
      <c r="B615" s="107">
        <v>23</v>
      </c>
      <c r="C615" s="107">
        <v>16</v>
      </c>
      <c r="D615" s="39" t="s">
        <v>432</v>
      </c>
      <c r="E615" s="107"/>
      <c r="F615" s="108">
        <f t="shared" ref="F615:L615" si="49">SUM(F612:F614)</f>
        <v>24646</v>
      </c>
      <c r="G615" s="108">
        <f t="shared" si="49"/>
        <v>5470.75</v>
      </c>
      <c r="H615" s="108">
        <f t="shared" si="49"/>
        <v>15416.66</v>
      </c>
      <c r="I615" s="108">
        <f t="shared" si="49"/>
        <v>505.11</v>
      </c>
      <c r="J615" s="108">
        <f t="shared" si="49"/>
        <v>0</v>
      </c>
      <c r="K615" s="108">
        <f t="shared" si="49"/>
        <v>0</v>
      </c>
      <c r="L615" s="89">
        <f t="shared" si="49"/>
        <v>46038.52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2455045.9200000004</v>
      </c>
      <c r="H618" s="109">
        <f>SUM(F52)</f>
        <v>2455045.92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7314.3999999999978</v>
      </c>
      <c r="H619" s="109">
        <f>SUM(G52)</f>
        <v>7314.4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232266.23000000004</v>
      </c>
      <c r="H620" s="109">
        <f>SUM(H52)</f>
        <v>232266.23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119640.17000000001</v>
      </c>
      <c r="H621" s="109">
        <f>SUM(I52)</f>
        <v>119640.17000000001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295846.49</v>
      </c>
      <c r="H622" s="109">
        <f>SUM(J52)</f>
        <v>295846.49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1030729</v>
      </c>
      <c r="H623" s="109">
        <f>F477</f>
        <v>1030728.9999999991</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3560.34</v>
      </c>
      <c r="H624" s="109">
        <f>G477</f>
        <v>3560.3399999999965</v>
      </c>
      <c r="I624" s="121" t="s">
        <v>102</v>
      </c>
      <c r="J624" s="109">
        <f t="shared" si="50"/>
        <v>3.637978807091713E-12</v>
      </c>
      <c r="K624" s="109"/>
      <c r="L624" s="109"/>
      <c r="M624" s="8"/>
    </row>
    <row r="625" spans="1:13" s="3" customFormat="1" ht="12.2" customHeight="1" x14ac:dyDescent="0.15">
      <c r="A625" s="97"/>
      <c r="B625" s="105"/>
      <c r="C625" s="105"/>
      <c r="D625" s="105"/>
      <c r="E625" s="105"/>
      <c r="F625" s="120" t="s">
        <v>867</v>
      </c>
      <c r="G625" s="109">
        <f>H51</f>
        <v>41122.82</v>
      </c>
      <c r="H625" s="109">
        <f>H477</f>
        <v>41122.820000000007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35686.230000000003</v>
      </c>
      <c r="H626" s="109">
        <f>I477</f>
        <v>35686.23000000001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295846.49</v>
      </c>
      <c r="H627" s="109">
        <f>J477</f>
        <v>295846.49000000005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7896803.5</v>
      </c>
      <c r="H628" s="104">
        <f>SUM(F469)</f>
        <v>7896803.5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170969.45</v>
      </c>
      <c r="H629" s="104">
        <f>SUM(G469)</f>
        <v>170969.45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355935.87</v>
      </c>
      <c r="H630" s="104">
        <f>SUM(H469)</f>
        <v>355935.87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55900</v>
      </c>
      <c r="H631" s="104">
        <f>SUM(I469)</f>
        <v>55900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121973</v>
      </c>
      <c r="H632" s="104">
        <f>SUM(J469)</f>
        <v>121973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7474769.6899999995</v>
      </c>
      <c r="H633" s="104">
        <f>SUM(F473)</f>
        <v>7474769.6900000004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332914.68</v>
      </c>
      <c r="H634" s="104">
        <f>SUM(H473)</f>
        <v>332914.68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39125.5</v>
      </c>
      <c r="H635" s="104">
        <f>I370</f>
        <v>39125.5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170969.45</v>
      </c>
      <c r="H636" s="104">
        <f>SUM(G473)</f>
        <v>170969.45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72949.5</v>
      </c>
      <c r="H637" s="104">
        <f>SUM(I473)</f>
        <v>72949.5</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121973</v>
      </c>
      <c r="H638" s="164">
        <f>SUM(J469)</f>
        <v>121973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237216.80000000002</v>
      </c>
      <c r="H639" s="164">
        <f>SUM(J473)</f>
        <v>237216.8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295846.49</v>
      </c>
      <c r="H641" s="104">
        <f>SUM(G462)</f>
        <v>295846.49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295846.49</v>
      </c>
      <c r="H643" s="104">
        <f>SUM(I462)</f>
        <v>295846.49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973</v>
      </c>
      <c r="H645" s="104">
        <f>H409</f>
        <v>973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121000</v>
      </c>
      <c r="H646" s="104">
        <f>G409</f>
        <v>121000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121973</v>
      </c>
      <c r="H647" s="104">
        <f>L409</f>
        <v>121973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191292.6</v>
      </c>
      <c r="H648" s="104">
        <f>L209+L227+L245</f>
        <v>191292.60000000003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138272.61000000002</v>
      </c>
      <c r="H649" s="104">
        <f>(J258+J339)-(J256+J337)</f>
        <v>138272.61000000002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47479.930000000008</v>
      </c>
      <c r="H650" s="104">
        <f>H599</f>
        <v>47479.930000000008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51433.990000000005</v>
      </c>
      <c r="H651" s="104">
        <f>I599</f>
        <v>51433.990000000005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92378.680000000008</v>
      </c>
      <c r="H652" s="104">
        <f>J599</f>
        <v>92378.680000000008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20151</v>
      </c>
      <c r="H653" s="104">
        <f>K264+K346</f>
        <v>20151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121000</v>
      </c>
      <c r="H656" s="104">
        <f>K267+K348</f>
        <v>121000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3399459.7199999988</v>
      </c>
      <c r="G661" s="19">
        <f>(L230+L310+L360)</f>
        <v>1794482.3800000001</v>
      </c>
      <c r="H661" s="19">
        <f>(L248+L329+L361)</f>
        <v>2513885.5700000003</v>
      </c>
      <c r="I661" s="19">
        <f>SUM(F661:H661)</f>
        <v>7707827.669999999</v>
      </c>
      <c r="J661" s="13"/>
      <c r="K661" s="13"/>
      <c r="L661" s="13"/>
      <c r="M661" s="9"/>
    </row>
    <row r="662" spans="1:13" s="3" customFormat="1" ht="12.2" customHeight="1" x14ac:dyDescent="0.2">
      <c r="A662" s="1" t="s">
        <v>127</v>
      </c>
      <c r="F662" s="19">
        <f>(L359/IF(SUM(L359:L361)=0,1,SUM(L359:L361))*(SUM(G97:G110)))</f>
        <v>2242.4282545103815</v>
      </c>
      <c r="G662" s="19">
        <f>(L360/IF(SUM(L359:L361)=0,1,SUM(L359:L361))*(SUM(G97:G110)))</f>
        <v>1442.8921919834215</v>
      </c>
      <c r="H662" s="19">
        <f>(L361/IF(SUM(L359:L361)=0,1,SUM(L359:L361))*(SUM(G97:G110)))</f>
        <v>1780.6095535061966</v>
      </c>
      <c r="I662" s="19">
        <f>SUM(F662:H662)</f>
        <v>5465.9299999999994</v>
      </c>
      <c r="J662"/>
      <c r="K662" s="13"/>
      <c r="L662" s="13"/>
      <c r="M662" s="8"/>
    </row>
    <row r="663" spans="1:13" s="3" customFormat="1" ht="12.2" customHeight="1" x14ac:dyDescent="0.2">
      <c r="A663" s="1" t="s">
        <v>128</v>
      </c>
      <c r="F663" s="19">
        <f>(L209+L288)-(J209+J288)</f>
        <v>47479.930000000008</v>
      </c>
      <c r="G663" s="19">
        <f>(L227+L307)-(J227+J307)</f>
        <v>51433.990000000005</v>
      </c>
      <c r="H663" s="19">
        <f>(L245+L326)-(J245+J326)</f>
        <v>92378.680000000008</v>
      </c>
      <c r="I663" s="19">
        <f>SUM(F663:H663)</f>
        <v>191292.60000000003</v>
      </c>
      <c r="J663"/>
      <c r="K663" s="13"/>
      <c r="L663" s="13"/>
      <c r="M663" s="9"/>
    </row>
    <row r="664" spans="1:13" s="3" customFormat="1" ht="12.2" customHeight="1" x14ac:dyDescent="0.15">
      <c r="A664" s="198" t="s">
        <v>129</v>
      </c>
      <c r="B664" s="169"/>
      <c r="C664" s="169"/>
      <c r="D664" s="169"/>
      <c r="E664" s="169"/>
      <c r="F664" s="199">
        <f>SUM(F576:F588)+SUM(H603:H605)+SUM(L612)</f>
        <v>89350.43</v>
      </c>
      <c r="G664" s="199">
        <f>SUM(G576:G588)+SUM(I603:I605)+L613</f>
        <v>43549.88</v>
      </c>
      <c r="H664" s="199">
        <f>SUM(H576:H588)+SUM(J603:J605)+L614</f>
        <v>63967.650000000009</v>
      </c>
      <c r="I664" s="19">
        <f>SUM(F664:H664)</f>
        <v>196867.96000000002</v>
      </c>
      <c r="J664" s="13"/>
      <c r="K664" s="13"/>
      <c r="L664" s="13"/>
      <c r="M664" s="9"/>
    </row>
    <row r="665" spans="1:13" s="3" customFormat="1" ht="12.2" customHeight="1" x14ac:dyDescent="0.15">
      <c r="A665" s="1" t="s">
        <v>130</v>
      </c>
      <c r="F665" s="19">
        <f>F661-SUM(F662:F664)</f>
        <v>3260386.9317454882</v>
      </c>
      <c r="G665" s="19">
        <f>G661-SUM(G662:G664)</f>
        <v>1698055.6178080167</v>
      </c>
      <c r="H665" s="19">
        <f>H661-SUM(H662:H664)</f>
        <v>2355758.6304464941</v>
      </c>
      <c r="I665" s="19">
        <f>I661-SUM(I662:I664)</f>
        <v>7314201.1799999988</v>
      </c>
      <c r="J665" s="13"/>
      <c r="K665" s="13"/>
      <c r="L665" s="13"/>
      <c r="M665" s="8"/>
    </row>
    <row r="666" spans="1:13" s="3" customFormat="1" ht="12.2" customHeight="1" x14ac:dyDescent="0.25">
      <c r="A666" s="1" t="s">
        <v>131</v>
      </c>
      <c r="F666" s="393">
        <v>125.91</v>
      </c>
      <c r="G666" s="393">
        <v>73.36</v>
      </c>
      <c r="H666" s="393">
        <v>82.44</v>
      </c>
      <c r="I666" s="19">
        <f>SUM(F666:H666)</f>
        <v>281.70999999999998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25894.58</v>
      </c>
      <c r="G668" s="19">
        <f>ROUND(G665/G666,2)</f>
        <v>23146.89</v>
      </c>
      <c r="H668" s="19">
        <f>ROUND(H665/H666,2)</f>
        <v>28575.43</v>
      </c>
      <c r="I668" s="19">
        <f>ROUND(I665/I666,2)</f>
        <v>25963.58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25894.58</v>
      </c>
      <c r="G673" s="19">
        <f>ROUND((G665+G670)/(G666+G671),2)</f>
        <v>23146.89</v>
      </c>
      <c r="H673" s="19">
        <f>ROUND((H665+H670)/(H666+H671),2)</f>
        <v>28575.43</v>
      </c>
      <c r="I673" s="19">
        <f>ROUND((I665+I670)/(I666+I671),2)</f>
        <v>25963.58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30" sqref="E30"/>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69863.03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54600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54600+69863.03-393.82-246.01-1367.08-899-899-1798-12269-6990-11184-850-65-588</f>
        <v>86914.12</v>
      </c>
      <c r="F22" s="346"/>
    </row>
    <row r="23" spans="2:8" x14ac:dyDescent="0.25">
      <c r="B23" s="346"/>
      <c r="C23" s="346"/>
      <c r="D23" s="346"/>
      <c r="E23" s="346"/>
      <c r="F23" s="346"/>
    </row>
    <row r="24" spans="2:8" ht="26.25" customHeight="1" x14ac:dyDescent="0.25">
      <c r="B24" s="346"/>
      <c r="C24" s="348" t="s">
        <v>1661</v>
      </c>
      <c r="D24" s="346"/>
      <c r="E24" s="341">
        <f>2235+4470+4600+170.97+341.97+351.91+1284+513.6+1198.4</f>
        <v>15165.849999999999</v>
      </c>
      <c r="F24" s="346"/>
    </row>
    <row r="25" spans="2:8" ht="18" x14ac:dyDescent="0.25">
      <c r="B25" s="346"/>
      <c r="C25" s="349"/>
      <c r="D25" s="346"/>
      <c r="E25" s="346"/>
      <c r="F25" s="346"/>
    </row>
    <row r="26" spans="2:8" ht="27.75" customHeight="1" x14ac:dyDescent="0.25">
      <c r="B26" s="346"/>
      <c r="C26" s="348" t="s">
        <v>1662</v>
      </c>
      <c r="D26" s="346"/>
      <c r="E26" s="341">
        <f>11053.5+845.62+3026.25+2841.93+231.57+190.15+1975+1975+4816+4816+4816+4256.64+3020.38+3681.23+2290+970+970+6861+524.89+184.32+41.31+921.57+921.57+921.57+1821.12+1127.36+1387.52+1675.46+1086.28+1472.03+462.15+564.85</f>
        <v>71748.27</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f>12269+6990+11184</f>
        <v>30443</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Lincoln-Woodstock Cooperative School District</v>
      </c>
      <c r="C5" s="364"/>
      <c r="D5" s="364"/>
      <c r="E5" s="364"/>
      <c r="F5" s="364"/>
    </row>
    <row r="8" spans="1:9" ht="18" x14ac:dyDescent="0.25">
      <c r="A8" s="317" t="s">
        <v>1576</v>
      </c>
      <c r="F8" s="324" t="s">
        <v>1594</v>
      </c>
    </row>
    <row r="9" spans="1:9" ht="15" x14ac:dyDescent="0.2">
      <c r="A9" s="315" t="s">
        <v>1577</v>
      </c>
      <c r="B9" s="318">
        <f>'DOE25'!G97</f>
        <v>5465.93</v>
      </c>
      <c r="F9" s="315" t="s">
        <v>1590</v>
      </c>
    </row>
    <row r="10" spans="1:9" ht="15" x14ac:dyDescent="0.2">
      <c r="A10" s="315" t="s">
        <v>1578</v>
      </c>
      <c r="B10" s="318">
        <f>'DOE25'!G112-'DOE25'!G97</f>
        <v>0</v>
      </c>
      <c r="F10" s="315" t="s">
        <v>1591</v>
      </c>
    </row>
    <row r="11" spans="1:9" ht="15" x14ac:dyDescent="0.2">
      <c r="A11" s="315" t="s">
        <v>1579</v>
      </c>
      <c r="B11" s="318">
        <f>'DOE25'!G140</f>
        <v>1917.2</v>
      </c>
      <c r="F11" s="315" t="s">
        <v>1592</v>
      </c>
    </row>
    <row r="12" spans="1:9" ht="15" x14ac:dyDescent="0.2">
      <c r="A12" s="315" t="s">
        <v>1580</v>
      </c>
      <c r="B12" s="318">
        <f>'DOE25'!G170</f>
        <v>143435.32</v>
      </c>
      <c r="F12" s="315" t="s">
        <v>1593</v>
      </c>
    </row>
    <row r="13" spans="1:9" ht="15" x14ac:dyDescent="0.2">
      <c r="A13" s="315" t="s">
        <v>1581</v>
      </c>
      <c r="B13" s="318">
        <f>'DOE25'!G193-'DOE25'!G180</f>
        <v>0</v>
      </c>
      <c r="F13" s="315" t="s">
        <v>1603</v>
      </c>
    </row>
    <row r="14" spans="1:9" ht="18" x14ac:dyDescent="0.25">
      <c r="A14" s="317" t="s">
        <v>732</v>
      </c>
      <c r="B14" s="319">
        <f>SUM(B9:B13)</f>
        <v>150818.45000000001</v>
      </c>
    </row>
    <row r="16" spans="1:9" ht="18" x14ac:dyDescent="0.25">
      <c r="A16" s="317" t="s">
        <v>786</v>
      </c>
      <c r="F16" s="324" t="s">
        <v>1595</v>
      </c>
    </row>
    <row r="17" spans="1:6" ht="15" x14ac:dyDescent="0.2">
      <c r="A17" s="315" t="s">
        <v>1582</v>
      </c>
      <c r="B17" s="318">
        <f>'DOE25'!L363-'DOE25'!L362</f>
        <v>170969.45</v>
      </c>
      <c r="F17" s="315" t="s">
        <v>1596</v>
      </c>
    </row>
    <row r="18" spans="1:6" ht="15" x14ac:dyDescent="0.2">
      <c r="A18" s="315" t="s">
        <v>1583</v>
      </c>
      <c r="B18" s="328"/>
      <c r="F18" s="324" t="s">
        <v>1620</v>
      </c>
    </row>
    <row r="19" spans="1:6" ht="18" x14ac:dyDescent="0.25">
      <c r="A19" s="317" t="s">
        <v>725</v>
      </c>
      <c r="B19" s="319">
        <f>SUM(B17:B18)</f>
        <v>170969.45</v>
      </c>
    </row>
    <row r="21" spans="1:6" ht="18.75" thickBot="1" x14ac:dyDescent="0.3">
      <c r="A21" s="317" t="s">
        <v>1584</v>
      </c>
    </row>
    <row r="22" spans="1:6" ht="18.75" thickTop="1" x14ac:dyDescent="0.25">
      <c r="A22" s="317" t="s">
        <v>1585</v>
      </c>
      <c r="B22" s="323">
        <f>B14-B19</f>
        <v>-20151</v>
      </c>
      <c r="F22" s="315" t="s">
        <v>1597</v>
      </c>
    </row>
    <row r="26" spans="1:6" ht="18" x14ac:dyDescent="0.25">
      <c r="A26" s="317" t="s">
        <v>186</v>
      </c>
    </row>
    <row r="27" spans="1:6" ht="15" x14ac:dyDescent="0.2">
      <c r="A27" s="315" t="s">
        <v>1586</v>
      </c>
      <c r="B27" s="318">
        <f>'DOE25'!G180</f>
        <v>20151</v>
      </c>
      <c r="F27" s="315" t="s">
        <v>1598</v>
      </c>
    </row>
    <row r="28" spans="1:6" ht="15" x14ac:dyDescent="0.2">
      <c r="A28" s="315" t="s">
        <v>1588</v>
      </c>
      <c r="B28" s="318">
        <f>'DOE25'!L362</f>
        <v>0</v>
      </c>
      <c r="F28" s="315" t="s">
        <v>1599</v>
      </c>
    </row>
    <row r="31" spans="1:6" ht="15" x14ac:dyDescent="0.2">
      <c r="A31" s="315" t="s">
        <v>1628</v>
      </c>
      <c r="B31" s="318">
        <f>'DOE25'!G466</f>
        <v>3560.34</v>
      </c>
      <c r="F31" s="315" t="s">
        <v>1600</v>
      </c>
    </row>
    <row r="33" spans="1:6" ht="15" x14ac:dyDescent="0.2">
      <c r="A33" s="315" t="s">
        <v>1629</v>
      </c>
      <c r="B33" s="318">
        <f>'DOE25'!G477</f>
        <v>3560.3399999999965</v>
      </c>
      <c r="F33" s="315" t="s">
        <v>1601</v>
      </c>
    </row>
    <row r="36" spans="1:6" ht="15" x14ac:dyDescent="0.2">
      <c r="A36" s="315" t="s">
        <v>1587</v>
      </c>
      <c r="B36" s="329">
        <v>11438.86</v>
      </c>
      <c r="F36" s="324" t="s">
        <v>1602</v>
      </c>
    </row>
  </sheetData>
  <sheetProtection password="B50A" sheet="1" selectLockedCells="1"/>
  <mergeCells count="3">
    <mergeCell ref="A1:H1"/>
    <mergeCell ref="A2:H2"/>
    <mergeCell ref="B5:F5"/>
  </mergeCells>
  <dataValidations disablePrompts="1"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Lincoln-Woodstock Cooperative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2166790.9299999997</v>
      </c>
      <c r="C9" s="229">
        <f>'DOE25'!G198+'DOE25'!G216+'DOE25'!G234+'DOE25'!G277+'DOE25'!G296+'DOE25'!G315</f>
        <v>1262698.3899999997</v>
      </c>
    </row>
    <row r="10" spans="1:3" x14ac:dyDescent="0.2">
      <c r="A10" t="s">
        <v>775</v>
      </c>
      <c r="B10" s="240">
        <f>822086.17+493366.02+722326.74+73956+2235+4470+4600</f>
        <v>2123039.9299999997</v>
      </c>
      <c r="C10" s="240">
        <f>304975.97+7143.46+707.72+695.14+60590.04+150487.8+3647.19+169570.75+3797.74+341.11+391.88+34739.3+86369.75+2188.82+239049.43+4855.78+745+482.19+53815.86+123309.47+3204.61+4486.41+6238.12+170.97+341.97+351.91-3346.95</f>
        <v>1259351.44</v>
      </c>
    </row>
    <row r="11" spans="1:3" x14ac:dyDescent="0.2">
      <c r="A11" t="s">
        <v>776</v>
      </c>
      <c r="B11" s="240"/>
      <c r="C11" s="240"/>
    </row>
    <row r="12" spans="1:3" x14ac:dyDescent="0.2">
      <c r="A12" t="s">
        <v>777</v>
      </c>
      <c r="B12" s="240">
        <f>15255+4620+23876</f>
        <v>43751</v>
      </c>
      <c r="C12" s="240">
        <v>3346.95</v>
      </c>
    </row>
    <row r="13" spans="1:3" x14ac:dyDescent="0.2">
      <c r="A13" t="str">
        <f>IF(B9=B13,IF(C9=C13,"Check Total OK","Check Total Error"),"Check Total Error")</f>
        <v>Check Total OK</v>
      </c>
      <c r="B13" s="231">
        <f>SUM(B10:B12)</f>
        <v>2166790.9299999997</v>
      </c>
      <c r="C13" s="231">
        <f>SUM(C10:C12)</f>
        <v>1262698.3899999999</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484056.13</v>
      </c>
      <c r="C18" s="229">
        <f>'DOE25'!G199+'DOE25'!G217+'DOE25'!G235+'DOE25'!G278+'DOE25'!G297+'DOE25'!G316</f>
        <v>267610.42</v>
      </c>
    </row>
    <row r="19" spans="1:3" x14ac:dyDescent="0.2">
      <c r="A19" t="s">
        <v>775</v>
      </c>
      <c r="B19" s="240">
        <f>263165.98+81051.89+92290.45+11235+660+2117.31+20793+1140+2250+937.5-232256</f>
        <v>243385.13</v>
      </c>
      <c r="C19" s="240">
        <f>75231.72+2794.76+312.7+19547.46+16043.51+21076.86+1167.54+45226.92+857.2+79.5+5725.04+4385.79+7437.55+359.45+38085.36+857.2+95.4+6402.11+3598.55+10810.57+409.45+848.84+1099.97+546.35+49.84+44.8+35.99+2.93+1591+2323+87.21+172.13+101.12+71.72+130.88-643.75-132122.58</f>
        <v>134844.08999999994</v>
      </c>
    </row>
    <row r="20" spans="1:3" x14ac:dyDescent="0.2">
      <c r="A20" t="s">
        <v>776</v>
      </c>
      <c r="B20" s="240">
        <f>226714+5542</f>
        <v>232256</v>
      </c>
      <c r="C20" s="240">
        <f>88412+17767.58+25943</f>
        <v>132122.58000000002</v>
      </c>
    </row>
    <row r="21" spans="1:3" x14ac:dyDescent="0.2">
      <c r="A21" t="s">
        <v>777</v>
      </c>
      <c r="B21" s="240">
        <f>6030+1800+585</f>
        <v>8415</v>
      </c>
      <c r="C21" s="240">
        <v>643.75</v>
      </c>
    </row>
    <row r="22" spans="1:3" x14ac:dyDescent="0.2">
      <c r="A22" t="str">
        <f>IF(B18=B22,IF(C18=C22,"Check Total OK","Check Total Error"),"Check Total Error")</f>
        <v>Check Total OK</v>
      </c>
      <c r="B22" s="231">
        <f>SUM(B19:B21)</f>
        <v>484056.13</v>
      </c>
      <c r="C22" s="231">
        <f>SUM(C19:C21)</f>
        <v>267610.41999999993</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68163</v>
      </c>
      <c r="C36" s="235">
        <f>'DOE25'!G201+'DOE25'!G219+'DOE25'!G237+'DOE25'!G280+'DOE25'!G299+'DOE25'!G318</f>
        <v>11321.130000000001</v>
      </c>
    </row>
    <row r="37" spans="1:3" x14ac:dyDescent="0.2">
      <c r="A37" t="s">
        <v>775</v>
      </c>
      <c r="B37" s="240">
        <f>126+1837.5+6750+850</f>
        <v>9563.5</v>
      </c>
      <c r="C37" s="240">
        <f>9.67+46.07+77.89+137.67+327.07+501.31+1201.5+65</f>
        <v>2366.1799999999998</v>
      </c>
    </row>
    <row r="38" spans="1:3" x14ac:dyDescent="0.2">
      <c r="A38" t="s">
        <v>776</v>
      </c>
      <c r="B38" s="240"/>
      <c r="C38" s="240"/>
    </row>
    <row r="39" spans="1:3" x14ac:dyDescent="0.2">
      <c r="A39" t="s">
        <v>777</v>
      </c>
      <c r="B39" s="240">
        <f>12093.5+46506</f>
        <v>58599.5</v>
      </c>
      <c r="C39" s="240">
        <f>919.29+307.18+434.95+53.65+3475.11+291.82+3211.63+206.32+55</f>
        <v>8954.9500000000007</v>
      </c>
    </row>
    <row r="40" spans="1:3" x14ac:dyDescent="0.2">
      <c r="A40" t="str">
        <f>IF(B36=B40,IF(C36=C40,"Check Total OK","Check Total Error"),"Check Total Error")</f>
        <v>Check Total OK</v>
      </c>
      <c r="B40" s="231">
        <f>SUM(B37:B39)</f>
        <v>68163</v>
      </c>
      <c r="C40" s="231">
        <f>SUM(C37:C39)</f>
        <v>11321.130000000001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Lincoln-Woodstock Cooperative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4586526.1399999997</v>
      </c>
      <c r="D5" s="20">
        <f>SUM('DOE25'!L198:L201)+SUM('DOE25'!L216:L219)+SUM('DOE25'!L234:L237)-F5-G5-H5</f>
        <v>4345218.18</v>
      </c>
      <c r="E5" s="243"/>
      <c r="F5" s="244">
        <f>189999.96-25000</f>
        <v>164999.96</v>
      </c>
      <c r="G5" s="53">
        <f>SUM('DOE25'!J198:J201)+SUM('DOE25'!J216:J219)+SUM('DOE25'!J234:J237)</f>
        <v>60230.25</v>
      </c>
      <c r="H5" s="53">
        <f>SUM('DOE25'!K198:K201)+SUM('DOE25'!K216:K219)+SUM('DOE25'!K234:K237)</f>
        <v>16077.75</v>
      </c>
      <c r="I5" s="254"/>
    </row>
    <row r="6" spans="1:9" x14ac:dyDescent="0.2">
      <c r="A6" s="32">
        <v>2100</v>
      </c>
      <c r="B6" t="s">
        <v>796</v>
      </c>
      <c r="C6" s="273">
        <f t="shared" si="0"/>
        <v>722217.07000000007</v>
      </c>
      <c r="D6" s="20">
        <f>'DOE25'!L203+'DOE25'!L221+'DOE25'!L239-F6-G6-H6</f>
        <v>502027.42000000004</v>
      </c>
      <c r="E6" s="243"/>
      <c r="F6" s="244">
        <f>87759.56+113711.58+42494.95-25000</f>
        <v>218966.09000000003</v>
      </c>
      <c r="G6" s="53">
        <f>'DOE25'!J203+'DOE25'!J221+'DOE25'!J239</f>
        <v>774.56000000000006</v>
      </c>
      <c r="H6" s="53">
        <f>'DOE25'!K203+'DOE25'!K221+'DOE25'!K239</f>
        <v>449</v>
      </c>
      <c r="I6" s="254"/>
    </row>
    <row r="7" spans="1:9" x14ac:dyDescent="0.2">
      <c r="A7" s="32">
        <v>2200</v>
      </c>
      <c r="B7" t="s">
        <v>821</v>
      </c>
      <c r="C7" s="273">
        <f t="shared" si="0"/>
        <v>188321.86000000004</v>
      </c>
      <c r="D7" s="20">
        <f>'DOE25'!L204+'DOE25'!L222+'DOE25'!L240-F7-G7-H7</f>
        <v>187310.87000000005</v>
      </c>
      <c r="E7" s="243"/>
      <c r="F7" s="244"/>
      <c r="G7" s="53">
        <f>'DOE25'!J204+'DOE25'!J222+'DOE25'!J240</f>
        <v>1010.99</v>
      </c>
      <c r="H7" s="53">
        <f>'DOE25'!K204+'DOE25'!K222+'DOE25'!K240</f>
        <v>0</v>
      </c>
      <c r="I7" s="254"/>
    </row>
    <row r="8" spans="1:9" x14ac:dyDescent="0.2">
      <c r="A8" s="32">
        <v>2300</v>
      </c>
      <c r="B8" t="s">
        <v>797</v>
      </c>
      <c r="C8" s="273">
        <f t="shared" si="0"/>
        <v>415097.03999999992</v>
      </c>
      <c r="D8" s="243"/>
      <c r="E8" s="20">
        <f>'DOE25'!L205+'DOE25'!L223+'DOE25'!L241-F8-G8-H8-D9-D11</f>
        <v>407497.77999999991</v>
      </c>
      <c r="F8" s="244"/>
      <c r="G8" s="53">
        <f>'DOE25'!J205+'DOE25'!J223+'DOE25'!J241</f>
        <v>1043.93</v>
      </c>
      <c r="H8" s="53">
        <f>'DOE25'!K205+'DOE25'!K223+'DOE25'!K241</f>
        <v>6555.33</v>
      </c>
      <c r="I8" s="254"/>
    </row>
    <row r="9" spans="1:9" ht="14.25" x14ac:dyDescent="0.2">
      <c r="A9" s="32">
        <v>2310</v>
      </c>
      <c r="B9" s="185" t="s">
        <v>888</v>
      </c>
      <c r="C9" s="273">
        <f t="shared" si="0"/>
        <v>13400.53</v>
      </c>
      <c r="D9" s="244">
        <v>13400.53</v>
      </c>
      <c r="E9" s="243"/>
      <c r="F9" s="251"/>
      <c r="G9" s="251"/>
      <c r="H9" s="251"/>
      <c r="I9" s="254"/>
    </row>
    <row r="10" spans="1:9" ht="14.25" x14ac:dyDescent="0.2">
      <c r="A10" s="32">
        <v>2317</v>
      </c>
      <c r="B10" s="185" t="s">
        <v>889</v>
      </c>
      <c r="C10" s="273">
        <f t="shared" si="0"/>
        <v>11550</v>
      </c>
      <c r="D10" s="243"/>
      <c r="E10" s="244">
        <v>11550</v>
      </c>
      <c r="F10" s="251"/>
      <c r="G10" s="251"/>
      <c r="H10" s="251"/>
      <c r="I10" s="254"/>
    </row>
    <row r="11" spans="1:9" ht="14.25" x14ac:dyDescent="0.2">
      <c r="A11" s="32">
        <v>2321</v>
      </c>
      <c r="B11" s="185" t="s">
        <v>890</v>
      </c>
      <c r="C11" s="273">
        <f t="shared" si="0"/>
        <v>181210.88999999998</v>
      </c>
      <c r="D11" s="244">
        <f>133870.55+47340.34</f>
        <v>181210.88999999998</v>
      </c>
      <c r="E11" s="243"/>
      <c r="F11" s="251"/>
      <c r="G11" s="251"/>
      <c r="H11" s="251"/>
      <c r="I11" s="254"/>
    </row>
    <row r="12" spans="1:9" x14ac:dyDescent="0.2">
      <c r="A12" s="32">
        <v>2400</v>
      </c>
      <c r="B12" t="s">
        <v>711</v>
      </c>
      <c r="C12" s="273">
        <f t="shared" si="0"/>
        <v>361495.79</v>
      </c>
      <c r="D12" s="20">
        <f>'DOE25'!L206+'DOE25'!L224+'DOE25'!L242-F12-G12-H12</f>
        <v>352880.51999999996</v>
      </c>
      <c r="E12" s="243"/>
      <c r="F12" s="244"/>
      <c r="G12" s="53">
        <f>'DOE25'!J206+'DOE25'!J224+'DOE25'!J242</f>
        <v>3286.02</v>
      </c>
      <c r="H12" s="53">
        <f>'DOE25'!K206+'DOE25'!K224+'DOE25'!K242</f>
        <v>5329.25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543986.62</v>
      </c>
      <c r="D14" s="20">
        <f>'DOE25'!L208+'DOE25'!L226+'DOE25'!L244-F14-G14-H14</f>
        <v>503430.15</v>
      </c>
      <c r="E14" s="243"/>
      <c r="F14" s="244"/>
      <c r="G14" s="53">
        <f>'DOE25'!J208+'DOE25'!J226+'DOE25'!J244</f>
        <v>2569.9499999999998</v>
      </c>
      <c r="H14" s="53">
        <f>'DOE25'!K208+'DOE25'!K226+'DOE25'!K244</f>
        <v>37986.520000000004</v>
      </c>
      <c r="I14" s="254"/>
    </row>
    <row r="15" spans="1:9" x14ac:dyDescent="0.2">
      <c r="A15" s="32">
        <v>2700</v>
      </c>
      <c r="B15" t="s">
        <v>799</v>
      </c>
      <c r="C15" s="273">
        <f t="shared" si="0"/>
        <v>191292.60000000003</v>
      </c>
      <c r="D15" s="20">
        <f>'DOE25'!L209+'DOE25'!L227+'DOE25'!L245-F15-G15-H15</f>
        <v>47018.270000000019</v>
      </c>
      <c r="E15" s="243"/>
      <c r="F15" s="244">
        <f>109390.89+59883.44-25000</f>
        <v>144274.33000000002</v>
      </c>
      <c r="G15" s="53">
        <f>'DOE25'!J209+'DOE25'!J227+'DOE25'!J245</f>
        <v>0</v>
      </c>
      <c r="H15" s="53">
        <f>'DOE25'!K209+'DOE25'!K227+'DOE25'!K245</f>
        <v>0</v>
      </c>
      <c r="I15" s="254"/>
    </row>
    <row r="16" spans="1:9" x14ac:dyDescent="0.2">
      <c r="A16" s="32">
        <v>2800</v>
      </c>
      <c r="B16" t="s">
        <v>800</v>
      </c>
      <c r="C16" s="273">
        <f t="shared" si="0"/>
        <v>395</v>
      </c>
      <c r="D16" s="243"/>
      <c r="E16" s="20">
        <f>'DOE25'!L210+'DOE25'!L228+'DOE25'!L246-F16-G16-H16</f>
        <v>395</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92985.75</v>
      </c>
      <c r="D25" s="243"/>
      <c r="E25" s="243"/>
      <c r="F25" s="253"/>
      <c r="G25" s="251"/>
      <c r="H25" s="251"/>
      <c r="I25" s="252">
        <f>'DOE25'!L261+'DOE25'!L262+'DOE25'!L342+'DOE25'!L343</f>
        <v>92985.75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133092.45000000001</v>
      </c>
      <c r="D29" s="281">
        <f>'DOE25'!L359+'DOE25'!L360+'DOE25'!L361-'DOE25'!I368-F29-G29-H29</f>
        <v>32856.619999999988</v>
      </c>
      <c r="E29" s="243"/>
      <c r="F29" s="244">
        <f>69668.74+43128.22+53080.94-37877-25000</f>
        <v>103000.90000000002</v>
      </c>
      <c r="G29" s="53">
        <f>'DOE25'!J359+'DOE25'!J360+'DOE25'!J361</f>
        <v>0</v>
      </c>
      <c r="H29" s="53">
        <f>'DOE25'!K359+'DOE25'!K360+'DOE25'!K361</f>
        <v>-2765.07</v>
      </c>
      <c r="I29" s="254"/>
    </row>
    <row r="30" spans="1:9" x14ac:dyDescent="0.2">
      <c r="A30" s="32"/>
      <c r="C30" s="274"/>
      <c r="D30" s="20"/>
      <c r="E30" s="278"/>
      <c r="F30" s="268"/>
      <c r="G30" s="53"/>
      <c r="H30" s="53"/>
      <c r="I30" s="254"/>
    </row>
    <row r="31" spans="1:9" x14ac:dyDescent="0.2">
      <c r="A31" s="32" t="s">
        <v>818</v>
      </c>
      <c r="B31" t="s">
        <v>817</v>
      </c>
      <c r="C31" s="273">
        <f>SUM(D31:I31)</f>
        <v>332914.68000000005</v>
      </c>
      <c r="D31" s="20">
        <f>'DOE25'!L291+'DOE25'!L310+'DOE25'!L329+'DOE25'!L334+'DOE25'!L335+'DOE25'!L336-F31-G31-H31</f>
        <v>257712.77000000002</v>
      </c>
      <c r="E31" s="243"/>
      <c r="F31" s="244"/>
      <c r="G31" s="53">
        <f>'DOE25'!J291+'DOE25'!J310+'DOE25'!J329+'DOE25'!J334+'DOE25'!J335+'DOE25'!J336</f>
        <v>69356.91</v>
      </c>
      <c r="H31" s="53">
        <f>'DOE25'!K291+'DOE25'!K310+'DOE25'!K329+'DOE25'!K334+'DOE25'!K335+'DOE25'!K336</f>
        <v>5845</v>
      </c>
      <c r="I31" s="254"/>
    </row>
    <row r="32" spans="1:9" ht="12" thickBot="1" x14ac:dyDescent="0.25">
      <c r="C32" s="274"/>
      <c r="G32" s="249"/>
      <c r="H32" s="249"/>
      <c r="I32" s="256"/>
    </row>
    <row r="33" spans="1:9" ht="12" thickTop="1" x14ac:dyDescent="0.2">
      <c r="B33" t="s">
        <v>809</v>
      </c>
      <c r="D33" s="245">
        <f t="shared" ref="D33:I33" si="1">SUM(D5:D31)</f>
        <v>6423066.2200000007</v>
      </c>
      <c r="E33" s="245">
        <f t="shared" si="1"/>
        <v>419442.77999999991</v>
      </c>
      <c r="F33" s="245">
        <f t="shared" si="1"/>
        <v>631241.28000000014</v>
      </c>
      <c r="G33" s="245">
        <f t="shared" si="1"/>
        <v>138272.60999999999</v>
      </c>
      <c r="H33" s="245">
        <f t="shared" si="1"/>
        <v>69477.78</v>
      </c>
      <c r="I33" s="245">
        <f t="shared" si="1"/>
        <v>92985.75</v>
      </c>
    </row>
    <row r="35" spans="1:9" ht="12" thickBot="1" x14ac:dyDescent="0.25">
      <c r="B35" s="249" t="s">
        <v>831</v>
      </c>
      <c r="D35" s="250">
        <f>E33</f>
        <v>419442.77999999991</v>
      </c>
      <c r="E35" s="246"/>
      <c r="F35" s="333" t="s">
        <v>1632</v>
      </c>
      <c r="G35" s="334"/>
      <c r="H35" s="334"/>
      <c r="I35" s="334"/>
    </row>
    <row r="36" spans="1:9" ht="12" thickTop="1" x14ac:dyDescent="0.2">
      <c r="B36" t="s">
        <v>810</v>
      </c>
      <c r="D36" s="20">
        <f>D33</f>
        <v>6423066.2200000007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4" sqref="A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Lincoln-Woodstock Cooperative School District</v>
      </c>
      <c r="B2" s="126">
        <f>'DOE25'!B2</f>
        <v>305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3329318.5499999989</v>
      </c>
      <c r="G4" s="300">
        <f>'DOE25'!L212+'DOE25'!L291</f>
        <v>3329318.5499999989</v>
      </c>
      <c r="H4" s="353">
        <f>F4-G4</f>
        <v>0</v>
      </c>
      <c r="I4" s="372" t="str">
        <f>IF(H4=0,"","ISSUES!! Please review page 7 and 11 totals in comparison with total on this page")</f>
        <v/>
      </c>
      <c r="N4"/>
    </row>
    <row r="5" spans="1:18" x14ac:dyDescent="0.2">
      <c r="A5" s="21" t="s">
        <v>1188</v>
      </c>
      <c r="B5" s="301">
        <f>IFERROR(VLOOKUP(A5,'School Tables'!$C$3:$D$365,2,FALSE),"")</f>
        <v>20880</v>
      </c>
      <c r="C5" s="294" t="str">
        <f>IFERROR(INDEX('School Tables'!$B$3:$B$365,MATCH('School Level Expenditures'!B5,'School Tables'!$D$3:$D$365,0)),"")</f>
        <v>Lincoln-Woodstock Cooperative</v>
      </c>
      <c r="D5" s="291">
        <f>+'DOE25'!L212</f>
        <v>3129077.4699999988</v>
      </c>
      <c r="E5" s="291">
        <f>+'DOE25'!L291</f>
        <v>200241.08000000002</v>
      </c>
      <c r="F5" s="304">
        <f>D5+E5</f>
        <v>3329318.5499999989</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3129077.4699999988</v>
      </c>
      <c r="E21" s="351">
        <f>SUM(E5:E20)</f>
        <v>200241.08000000002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1749349.9900000002</v>
      </c>
      <c r="G24" s="300">
        <f>'DOE25'!L230+'DOE25'!L310</f>
        <v>1749349.9900000002</v>
      </c>
      <c r="H24" s="353">
        <f>F24-G24</f>
        <v>0</v>
      </c>
      <c r="I24" s="372" t="str">
        <f>IF(H24=0,"","ISSUES!! Please review page 8 and 12 totals in comparison with total on this page")</f>
        <v/>
      </c>
      <c r="N24"/>
    </row>
    <row r="25" spans="1:14" x14ac:dyDescent="0.2">
      <c r="A25" s="21" t="s">
        <v>1186</v>
      </c>
      <c r="B25" s="301">
        <f>IFERROR(VLOOKUP(A25,'School Tables'!$I$3:$J$80,2,FALSE),"")</f>
        <v>23105</v>
      </c>
      <c r="C25" s="294" t="str">
        <f t="array" ref="C25">IFERROR(INDEX('School Tables'!$H$3:$H$80,MATCH('School Level Expenditures'!B25,'School Tables'!$J$3:$J$80,0)),"")</f>
        <v>Lincoln-Woodstock Cooperative</v>
      </c>
      <c r="D25" s="291">
        <f>+'DOE25'!L230</f>
        <v>1674328.9500000002</v>
      </c>
      <c r="E25" s="291">
        <f>+'DOE25'!L310</f>
        <v>75021.039999999994</v>
      </c>
      <c r="F25" s="304">
        <f>D25+E25</f>
        <v>1749349.9900000002</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1674328.9500000002</v>
      </c>
      <c r="E33" s="351">
        <f>SUM(E25:E32)</f>
        <v>75021.039999999994</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2458189.6800000002</v>
      </c>
      <c r="G36" s="300">
        <f>'DOE25'!L248+'DOE25'!L329</f>
        <v>2458189.6800000002</v>
      </c>
      <c r="H36" s="353">
        <f>F36-G36</f>
        <v>0</v>
      </c>
      <c r="I36" s="372" t="str">
        <f>IF(H36=0,"","ISSUES!! Please review page 9 and 13 totals in comparison with total on this page")</f>
        <v/>
      </c>
      <c r="N36"/>
    </row>
    <row r="37" spans="1:14" x14ac:dyDescent="0.2">
      <c r="A37" s="21" t="s">
        <v>1187</v>
      </c>
      <c r="B37" s="301">
        <f>IFERROR(VLOOKUP(A37,'School Tables'!$O$3:$P$118,2,FALSE),"")</f>
        <v>23110</v>
      </c>
      <c r="C37" s="294" t="str">
        <f t="array" ref="C37">IFERROR(INDEX('School Tables'!$N$3:$N$118,MATCH('School Level Expenditures'!B37,'School Tables'!$P$3:$P$118,0)),"")</f>
        <v>Lincoln-Woodstock Cooperative</v>
      </c>
      <c r="D37" s="291">
        <f>+'DOE25'!L248</f>
        <v>2400537.12</v>
      </c>
      <c r="E37" s="291">
        <f>+'DOE25'!L329</f>
        <v>57652.56</v>
      </c>
      <c r="F37" s="304">
        <f t="shared" ref="F37:F42" si="2">D37+E37</f>
        <v>2458189.6800000002</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2400537.12</v>
      </c>
      <c r="E43" s="352">
        <f>SUM(E37:E42)</f>
        <v>57652.56</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9" activePane="bottomLeft" state="frozen"/>
      <selection activeCell="F46" sqref="F46"/>
      <selection pane="bottomLeft" activeCell="C145" sqref="C1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Lincoln-Woodstock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1589998.12</v>
      </c>
      <c r="D8" s="95">
        <f>'DOE25'!G9</f>
        <v>0</v>
      </c>
      <c r="E8" s="95">
        <f>'DOE25'!H9</f>
        <v>0</v>
      </c>
      <c r="F8" s="95">
        <f>'DOE25'!I9</f>
        <v>0</v>
      </c>
      <c r="G8" s="95">
        <f>'DOE25'!J9</f>
        <v>295846.49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858117.6</v>
      </c>
      <c r="D11" s="95">
        <f>'DOE25'!G12</f>
        <v>-25378.7</v>
      </c>
      <c r="E11" s="95">
        <f>'DOE25'!H12</f>
        <v>82321.900000000023</v>
      </c>
      <c r="F11" s="95">
        <f>'DOE25'!I12</f>
        <v>119640.17000000001</v>
      </c>
      <c r="G11" s="95">
        <f>'DOE25'!J12</f>
        <v>0</v>
      </c>
      <c r="H11" s="124"/>
      <c r="I11" s="124"/>
    </row>
    <row r="12" spans="1:9" x14ac:dyDescent="0.2">
      <c r="A12" s="1" t="s">
        <v>143</v>
      </c>
      <c r="B12" s="6">
        <v>140</v>
      </c>
      <c r="C12" s="95">
        <f>'DOE25'!F13</f>
        <v>0</v>
      </c>
      <c r="D12" s="95">
        <f>'DOE25'!G13</f>
        <v>26147.599999999999</v>
      </c>
      <c r="E12" s="95">
        <f>'DOE25'!H13</f>
        <v>149944.33000000002</v>
      </c>
      <c r="F12" s="95">
        <f>'DOE25'!I13</f>
        <v>0</v>
      </c>
      <c r="G12" s="95">
        <f>'DOE25'!J13</f>
        <v>0</v>
      </c>
      <c r="H12" s="124"/>
      <c r="I12" s="124"/>
    </row>
    <row r="13" spans="1:9" x14ac:dyDescent="0.2">
      <c r="A13" s="1" t="s">
        <v>144</v>
      </c>
      <c r="B13" s="6">
        <v>150</v>
      </c>
      <c r="C13" s="95">
        <f>'DOE25'!F14</f>
        <v>6930.2</v>
      </c>
      <c r="D13" s="95">
        <f>'DOE25'!G14</f>
        <v>6545.5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2455045.9200000004</v>
      </c>
      <c r="D18" s="41">
        <f>SUM(D8:D17)</f>
        <v>7314.3999999999978</v>
      </c>
      <c r="E18" s="41">
        <f>SUM(E8:E17)</f>
        <v>232266.23000000004</v>
      </c>
      <c r="F18" s="41">
        <f>SUM(F8:F17)</f>
        <v>119640.17000000001</v>
      </c>
      <c r="G18" s="41">
        <f>SUM(G8:G17)</f>
        <v>295846.49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1082253.3999999999</v>
      </c>
      <c r="D21" s="95">
        <f>'DOE25'!G22</f>
        <v>1</v>
      </c>
      <c r="E21" s="95">
        <f>'DOE25'!H22</f>
        <v>188024.53</v>
      </c>
      <c r="F21" s="95">
        <f>'DOE25'!I22</f>
        <v>83953.94</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342063.51999999996</v>
      </c>
      <c r="D27" s="95">
        <f>'DOE25'!G28</f>
        <v>3753.06</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3118.88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1424316.92</v>
      </c>
      <c r="D31" s="41">
        <f>SUM(D21:D30)</f>
        <v>3754.06</v>
      </c>
      <c r="E31" s="41">
        <f>SUM(E21:E30)</f>
        <v>191143.41</v>
      </c>
      <c r="F31" s="41">
        <f>SUM(F21:F30)</f>
        <v>83953.94</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3560.34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284000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34786.57</v>
      </c>
      <c r="F47" s="95">
        <f>'DOE25'!I48</f>
        <v>0</v>
      </c>
      <c r="G47" s="95">
        <f>'DOE25'!J48</f>
        <v>295846.49</v>
      </c>
      <c r="H47" s="124"/>
      <c r="I47" s="124"/>
    </row>
    <row r="48" spans="1:9" x14ac:dyDescent="0.2">
      <c r="A48" s="1" t="s">
        <v>882</v>
      </c>
      <c r="B48" s="6">
        <v>753</v>
      </c>
      <c r="C48" s="95">
        <f>'DOE25'!F49</f>
        <v>123102.22</v>
      </c>
      <c r="D48" s="95">
        <f>'DOE25'!G49</f>
        <v>0</v>
      </c>
      <c r="E48" s="95">
        <f>'DOE25'!H49</f>
        <v>6336.25</v>
      </c>
      <c r="F48" s="95">
        <f>'DOE25'!I49</f>
        <v>35686.230000000003</v>
      </c>
      <c r="G48" s="95">
        <f>'DOE25'!J49</f>
        <v>0</v>
      </c>
      <c r="H48" s="124"/>
      <c r="I48" s="124"/>
    </row>
    <row r="49" spans="1:9" ht="12" thickBot="1" x14ac:dyDescent="0.25">
      <c r="A49" s="29" t="s">
        <v>883</v>
      </c>
      <c r="B49" s="71">
        <v>770</v>
      </c>
      <c r="C49" s="95">
        <f>'DOE25'!F50</f>
        <v>473626.77999999997</v>
      </c>
      <c r="D49" s="24" t="s">
        <v>288</v>
      </c>
      <c r="E49" s="24" t="s">
        <v>288</v>
      </c>
      <c r="F49" s="24" t="s">
        <v>288</v>
      </c>
      <c r="G49" s="24" t="s">
        <v>288</v>
      </c>
      <c r="H49" s="124"/>
      <c r="I49" s="124"/>
    </row>
    <row r="50" spans="1:9" ht="12.75" thickTop="1" thickBot="1" x14ac:dyDescent="0.25">
      <c r="A50" s="38" t="s">
        <v>884</v>
      </c>
      <c r="B50" s="48"/>
      <c r="C50" s="41">
        <f>SUM(C34:C49)</f>
        <v>1030729</v>
      </c>
      <c r="D50" s="41">
        <f>SUM(D34:D49)</f>
        <v>3560.34</v>
      </c>
      <c r="E50" s="41">
        <f>SUM(E34:E49)</f>
        <v>41122.82</v>
      </c>
      <c r="F50" s="41">
        <f>SUM(F34:F49)</f>
        <v>35686.230000000003</v>
      </c>
      <c r="G50" s="41">
        <f>SUM(G34:G49)</f>
        <v>295846.49</v>
      </c>
      <c r="H50" s="124"/>
      <c r="I50" s="124"/>
    </row>
    <row r="51" spans="1:9" ht="12" thickTop="1" x14ac:dyDescent="0.2">
      <c r="A51" s="38" t="s">
        <v>885</v>
      </c>
      <c r="B51" s="2"/>
      <c r="C51" s="41">
        <f>C50+C31</f>
        <v>2455045.92</v>
      </c>
      <c r="D51" s="41">
        <f>D50+D31</f>
        <v>7314.4</v>
      </c>
      <c r="E51" s="41">
        <f>E50+E31</f>
        <v>232266.23</v>
      </c>
      <c r="F51" s="41">
        <f>F50+F31</f>
        <v>119640.17000000001</v>
      </c>
      <c r="G51" s="41">
        <f>G50+G31</f>
        <v>295846.49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5056674</v>
      </c>
      <c r="D56" s="95">
        <f>'DOE25'!G60</f>
        <v>0</v>
      </c>
      <c r="E56" s="95">
        <f>'DOE25'!H60</f>
        <v>0</v>
      </c>
      <c r="F56" s="95">
        <f>'DOE25'!I60</f>
        <v>55900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0.47</v>
      </c>
      <c r="D59" s="95">
        <f>'DOE25'!G96</f>
        <v>0</v>
      </c>
      <c r="E59" s="95">
        <f>'DOE25'!H96</f>
        <v>0</v>
      </c>
      <c r="F59" s="95">
        <f>'DOE25'!I96</f>
        <v>0</v>
      </c>
      <c r="G59" s="95">
        <f>'DOE25'!J96</f>
        <v>973</v>
      </c>
      <c r="H59"/>
      <c r="I59"/>
    </row>
    <row r="60" spans="1:9" x14ac:dyDescent="0.2">
      <c r="A60" s="1" t="s">
        <v>170</v>
      </c>
      <c r="B60" s="118" t="s">
        <v>171</v>
      </c>
      <c r="C60" s="24" t="s">
        <v>288</v>
      </c>
      <c r="D60" s="95">
        <f>'DOE25'!G97</f>
        <v>5465.93</v>
      </c>
      <c r="E60" s="24" t="s">
        <v>288</v>
      </c>
      <c r="F60" s="24" t="s">
        <v>288</v>
      </c>
      <c r="G60" s="24" t="s">
        <v>288</v>
      </c>
      <c r="H60"/>
      <c r="I60"/>
    </row>
    <row r="61" spans="1:9" ht="12" thickBot="1" x14ac:dyDescent="0.25">
      <c r="A61" s="1" t="s">
        <v>172</v>
      </c>
      <c r="B61" s="118" t="s">
        <v>173</v>
      </c>
      <c r="C61" s="95">
        <f>SUM('DOE25'!F98:F110)</f>
        <v>2824.41</v>
      </c>
      <c r="D61" s="95">
        <f>SUM('DOE25'!G98:G110)</f>
        <v>0</v>
      </c>
      <c r="E61" s="95">
        <f>SUM('DOE25'!H98:H110)</f>
        <v>11032.64</v>
      </c>
      <c r="F61" s="95">
        <f>SUM('DOE25'!I98:I110)</f>
        <v>0</v>
      </c>
      <c r="G61" s="95">
        <f>SUM('DOE25'!J98:J110)</f>
        <v>0</v>
      </c>
      <c r="H61"/>
      <c r="I61"/>
    </row>
    <row r="62" spans="1:9" ht="12.75" thickTop="1" thickBot="1" x14ac:dyDescent="0.25">
      <c r="A62" s="29" t="s">
        <v>174</v>
      </c>
      <c r="B62" s="6"/>
      <c r="C62" s="130">
        <f>SUM(C57:C61)</f>
        <v>2824.8799999999997</v>
      </c>
      <c r="D62" s="130">
        <f>SUM(D57:D61)</f>
        <v>5465.93</v>
      </c>
      <c r="E62" s="130">
        <f>SUM(E57:E61)</f>
        <v>11032.64</v>
      </c>
      <c r="F62" s="130">
        <f>SUM(F57:F61)</f>
        <v>0</v>
      </c>
      <c r="G62" s="130">
        <f>SUM(G57:G61)</f>
        <v>973</v>
      </c>
      <c r="H62"/>
      <c r="I62"/>
    </row>
    <row r="63" spans="1:9" ht="12" thickTop="1" x14ac:dyDescent="0.2">
      <c r="A63" s="29" t="s">
        <v>175</v>
      </c>
      <c r="B63" s="6"/>
      <c r="C63" s="22">
        <f>C56+C62</f>
        <v>5059498.88</v>
      </c>
      <c r="D63" s="22">
        <f>D56+D62</f>
        <v>5465.93</v>
      </c>
      <c r="E63" s="22">
        <f>E56+E62</f>
        <v>11032.64</v>
      </c>
      <c r="F63" s="22">
        <f>F56+F62</f>
        <v>55900</v>
      </c>
      <c r="G63" s="22">
        <f>G56+G62</f>
        <v>973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332296.8</v>
      </c>
      <c r="D66" s="24" t="s">
        <v>288</v>
      </c>
      <c r="E66" s="24" t="s">
        <v>288</v>
      </c>
      <c r="F66" s="24" t="s">
        <v>288</v>
      </c>
      <c r="G66" s="24" t="s">
        <v>288</v>
      </c>
      <c r="H66"/>
      <c r="I66"/>
    </row>
    <row r="67" spans="1:9" x14ac:dyDescent="0.2">
      <c r="A67" s="1" t="s">
        <v>770</v>
      </c>
      <c r="B67" s="6">
        <v>3112</v>
      </c>
      <c r="C67" s="95">
        <f>'DOE25'!F118</f>
        <v>2371581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2703877.8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2943.39</v>
      </c>
      <c r="D75" s="24" t="s">
        <v>288</v>
      </c>
      <c r="E75" s="24" t="s">
        <v>288</v>
      </c>
      <c r="F75" s="24" t="s">
        <v>288</v>
      </c>
      <c r="G75" s="24" t="s">
        <v>288</v>
      </c>
      <c r="H75"/>
      <c r="I75"/>
    </row>
    <row r="76" spans="1:9" x14ac:dyDescent="0.2">
      <c r="A76" s="1" t="s">
        <v>257</v>
      </c>
      <c r="B76" s="6" t="s">
        <v>179</v>
      </c>
      <c r="C76" s="95">
        <f>SUM('DOE25'!F127:F130)</f>
        <v>5837.09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1917.2</v>
      </c>
      <c r="E77" s="95">
        <f>SUM('DOE25'!H131:H135)</f>
        <v>-6558.25</v>
      </c>
      <c r="F77" s="95">
        <f>SUM('DOE25'!I131:I135)</f>
        <v>0</v>
      </c>
      <c r="G77" s="95">
        <f>SUM('DOE25'!J131:J135)</f>
        <v>0</v>
      </c>
      <c r="H77"/>
      <c r="I77"/>
    </row>
    <row r="78" spans="1:9" ht="12.75" thickTop="1" thickBot="1" x14ac:dyDescent="0.25">
      <c r="A78" s="29" t="s">
        <v>259</v>
      </c>
      <c r="B78" s="6"/>
      <c r="C78" s="130">
        <f>SUM(C72:C77)</f>
        <v>8780.48</v>
      </c>
      <c r="D78" s="130">
        <f>SUM(D72:D77)</f>
        <v>1917.2</v>
      </c>
      <c r="E78" s="130">
        <f>SUM(E72:E77)</f>
        <v>-6558.25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2712658.28</v>
      </c>
      <c r="D81" s="130">
        <f>SUM(D79:D80)+D78+D70</f>
        <v>1917.2</v>
      </c>
      <c r="E81" s="130">
        <f>SUM(E79:E80)+E78+E70</f>
        <v>-6558.25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26771.040000000001</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80101.61</v>
      </c>
      <c r="D88" s="331">
        <f>SUM('DOE25'!G153:G162)</f>
        <v>143435.32</v>
      </c>
      <c r="E88" s="331">
        <f>SUM('DOE25'!H153:H162)</f>
        <v>324690.44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44544.73</v>
      </c>
      <c r="D90" s="24" t="s">
        <v>288</v>
      </c>
      <c r="E90" s="24" t="s">
        <v>288</v>
      </c>
      <c r="F90" s="24" t="s">
        <v>288</v>
      </c>
      <c r="G90" s="24" t="s">
        <v>288</v>
      </c>
    </row>
    <row r="91" spans="1:9" ht="12.75" thickTop="1" thickBot="1" x14ac:dyDescent="0.25">
      <c r="A91" s="33" t="s">
        <v>750</v>
      </c>
      <c r="C91" s="131">
        <f>SUM(C85:C90)</f>
        <v>124646.34</v>
      </c>
      <c r="D91" s="131">
        <f>SUM(D85:D90)</f>
        <v>143435.32</v>
      </c>
      <c r="E91" s="131">
        <f>SUM(E85:E90)</f>
        <v>351461.48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20151</v>
      </c>
      <c r="E96" s="95">
        <f>'DOE25'!H180</f>
        <v>0</v>
      </c>
      <c r="F96" s="95">
        <f>'DOE25'!I180</f>
        <v>0</v>
      </c>
      <c r="G96" s="95">
        <f>'DOE25'!J180</f>
        <v>121000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20151</v>
      </c>
      <c r="E103" s="86">
        <f>SUM(E93:E102)</f>
        <v>0</v>
      </c>
      <c r="F103" s="86">
        <f>SUM(F93:F102)</f>
        <v>0</v>
      </c>
      <c r="G103" s="86">
        <f>SUM(G93:G102)</f>
        <v>121000</v>
      </c>
    </row>
    <row r="104" spans="1:7" ht="12.75" thickTop="1" thickBot="1" x14ac:dyDescent="0.25">
      <c r="A104" s="33" t="s">
        <v>761</v>
      </c>
      <c r="C104" s="86">
        <f>C63+C81+C91+C103</f>
        <v>7896803.5</v>
      </c>
      <c r="D104" s="86">
        <f>D63+D81+D91+D103</f>
        <v>170969.45</v>
      </c>
      <c r="E104" s="86">
        <f>E63+E81+E91+E103</f>
        <v>355935.87</v>
      </c>
      <c r="F104" s="86">
        <f>F63+F81+F91+F103</f>
        <v>55900</v>
      </c>
      <c r="G104" s="86">
        <f>G63+G81+G103</f>
        <v>121973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3557880.26</v>
      </c>
      <c r="D109" s="24" t="s">
        <v>288</v>
      </c>
      <c r="E109" s="95">
        <f>('DOE25'!L277)+('DOE25'!L296)+('DOE25'!L315)</f>
        <v>153133.36000000002</v>
      </c>
      <c r="F109" s="24" t="s">
        <v>288</v>
      </c>
      <c r="G109" s="24" t="s">
        <v>288</v>
      </c>
    </row>
    <row r="110" spans="1:7" x14ac:dyDescent="0.2">
      <c r="A110" t="s">
        <v>198</v>
      </c>
      <c r="B110" s="32" t="s">
        <v>199</v>
      </c>
      <c r="C110" s="95">
        <f>('DOE25'!L199)+('DOE25'!L217)+('DOE25'!L235)</f>
        <v>917444.32000000007</v>
      </c>
      <c r="D110" s="24" t="s">
        <v>288</v>
      </c>
      <c r="E110" s="95">
        <f>('DOE25'!L278)+('DOE25'!L297)+('DOE25'!L316)</f>
        <v>60040.88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111201.56</v>
      </c>
      <c r="D112" s="24" t="s">
        <v>288</v>
      </c>
      <c r="E112" s="95">
        <f>+('DOE25'!L280)+('DOE25'!L299)+('DOE25'!L318)</f>
        <v>1503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4586526.1399999997</v>
      </c>
      <c r="D115" s="86">
        <f>SUM(D109:D114)</f>
        <v>0</v>
      </c>
      <c r="E115" s="86">
        <f>SUM(E109:E114)</f>
        <v>214677.24000000002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722217.07000000007</v>
      </c>
      <c r="D118" s="24" t="s">
        <v>288</v>
      </c>
      <c r="E118" s="95">
        <f>+('DOE25'!L282)+('DOE25'!L301)+('DOE25'!L320)</f>
        <v>44597.22</v>
      </c>
      <c r="F118" s="24" t="s">
        <v>288</v>
      </c>
      <c r="G118" s="24" t="s">
        <v>288</v>
      </c>
    </row>
    <row r="119" spans="1:7" x14ac:dyDescent="0.2">
      <c r="A119" t="s">
        <v>208</v>
      </c>
      <c r="B119" s="32" t="s">
        <v>209</v>
      </c>
      <c r="C119" s="95">
        <f>('DOE25'!L204)+('DOE25'!L222)+('DOE25'!L240)</f>
        <v>188321.86000000004</v>
      </c>
      <c r="D119" s="24" t="s">
        <v>288</v>
      </c>
      <c r="E119" s="95">
        <f>+('DOE25'!L283)+('DOE25'!L302)+('DOE25'!L321)</f>
        <v>29058</v>
      </c>
      <c r="F119" s="24" t="s">
        <v>288</v>
      </c>
      <c r="G119" s="24" t="s">
        <v>288</v>
      </c>
    </row>
    <row r="120" spans="1:7" x14ac:dyDescent="0.2">
      <c r="A120" t="s">
        <v>210</v>
      </c>
      <c r="B120" s="32" t="s">
        <v>211</v>
      </c>
      <c r="C120" s="95">
        <f>('DOE25'!L205)+('DOE25'!L223)+('DOE25'!L241)</f>
        <v>609708.46</v>
      </c>
      <c r="D120" s="24" t="s">
        <v>288</v>
      </c>
      <c r="E120" s="95">
        <f>+('DOE25'!L284)+('DOE25'!L303)+('DOE25'!L322)</f>
        <v>0</v>
      </c>
      <c r="F120" s="24" t="s">
        <v>288</v>
      </c>
      <c r="G120" s="24" t="s">
        <v>288</v>
      </c>
    </row>
    <row r="121" spans="1:7" x14ac:dyDescent="0.2">
      <c r="A121" t="s">
        <v>212</v>
      </c>
      <c r="B121" s="32" t="s">
        <v>213</v>
      </c>
      <c r="C121" s="95">
        <f>('DOE25'!L206)+('DOE25'!L224)+('DOE25'!L242)</f>
        <v>361495.79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543986.62</v>
      </c>
      <c r="D123" s="24" t="s">
        <v>288</v>
      </c>
      <c r="E123" s="95">
        <f>+('DOE25'!L287)+('DOE25'!L306)+('DOE25'!L325)</f>
        <v>44582.22</v>
      </c>
      <c r="F123" s="24" t="s">
        <v>288</v>
      </c>
      <c r="G123" s="24" t="s">
        <v>288</v>
      </c>
    </row>
    <row r="124" spans="1:7" x14ac:dyDescent="0.2">
      <c r="A124" t="s">
        <v>218</v>
      </c>
      <c r="B124" s="32" t="s">
        <v>219</v>
      </c>
      <c r="C124" s="95">
        <f>('DOE25'!L209)+('DOE25'!L227)+('DOE25'!L245+'DOE25'!L255)</f>
        <v>191292.60000000003</v>
      </c>
      <c r="D124" s="24" t="s">
        <v>288</v>
      </c>
      <c r="E124" s="95">
        <f>+('DOE25'!L288)+('DOE25'!L307)+('DOE25'!L326)</f>
        <v>0</v>
      </c>
      <c r="F124" s="24" t="s">
        <v>288</v>
      </c>
      <c r="G124" s="24" t="s">
        <v>288</v>
      </c>
    </row>
    <row r="125" spans="1:7" x14ac:dyDescent="0.2">
      <c r="A125" t="s">
        <v>220</v>
      </c>
      <c r="B125" s="32" t="s">
        <v>221</v>
      </c>
      <c r="C125" s="95">
        <f>('DOE25'!L210)+('DOE25'!L228)+('DOE25'!L246)</f>
        <v>395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170969.45</v>
      </c>
      <c r="E127" s="24" t="s">
        <v>288</v>
      </c>
      <c r="F127" s="24" t="s">
        <v>288</v>
      </c>
      <c r="G127" s="24" t="s">
        <v>288</v>
      </c>
    </row>
    <row r="128" spans="1:7" ht="12.75" thickTop="1" thickBot="1" x14ac:dyDescent="0.25">
      <c r="A128" s="33" t="s">
        <v>226</v>
      </c>
      <c r="C128" s="86">
        <f>SUM(C118:C127)</f>
        <v>2617417.4000000004</v>
      </c>
      <c r="D128" s="86">
        <f>SUM(D118:D127)</f>
        <v>170969.45</v>
      </c>
      <c r="E128" s="86">
        <f>SUM(E118:E127)</f>
        <v>118237.44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72949.5</v>
      </c>
      <c r="G130" s="24" t="s">
        <v>288</v>
      </c>
    </row>
    <row r="131" spans="1:7" x14ac:dyDescent="0.2">
      <c r="A131" t="s">
        <v>229</v>
      </c>
      <c r="B131" s="32">
        <v>5110</v>
      </c>
      <c r="C131" s="95">
        <f>'DOE25'!L261</f>
        <v>76500</v>
      </c>
      <c r="D131" s="24" t="s">
        <v>288</v>
      </c>
      <c r="E131" s="129">
        <f>'DOE25'!L342</f>
        <v>0</v>
      </c>
      <c r="F131" s="24" t="s">
        <v>288</v>
      </c>
      <c r="G131" s="24" t="s">
        <v>288</v>
      </c>
    </row>
    <row r="132" spans="1:7" x14ac:dyDescent="0.2">
      <c r="A132" t="s">
        <v>230</v>
      </c>
      <c r="B132" s="32">
        <v>5120</v>
      </c>
      <c r="C132" s="95">
        <f>'DOE25'!L262</f>
        <v>16485.75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183894.45</v>
      </c>
    </row>
    <row r="135" spans="1:7" x14ac:dyDescent="0.2">
      <c r="A135" t="s">
        <v>233</v>
      </c>
      <c r="B135" s="32" t="s">
        <v>234</v>
      </c>
      <c r="C135" s="95">
        <f>'DOE25'!L264</f>
        <v>20151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121973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-973</v>
      </c>
      <c r="D141" s="24" t="s">
        <v>288</v>
      </c>
      <c r="E141" s="24" t="s">
        <v>288</v>
      </c>
      <c r="F141" s="24" t="s">
        <v>288</v>
      </c>
      <c r="G141" s="24" t="s">
        <v>288</v>
      </c>
    </row>
    <row r="142" spans="1:7" x14ac:dyDescent="0.2">
      <c r="A142" t="s">
        <v>241</v>
      </c>
      <c r="B142" s="32">
        <v>5310</v>
      </c>
      <c r="C142" s="129">
        <f>'DOE25'!L269</f>
        <v>36689.4</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270826.15000000002</v>
      </c>
      <c r="D144" s="141">
        <f>SUM(D130:D143)</f>
        <v>0</v>
      </c>
      <c r="E144" s="141">
        <f>SUM(E130:E143)</f>
        <v>0</v>
      </c>
      <c r="F144" s="141">
        <f>SUM(F130:F143)</f>
        <v>72949.5</v>
      </c>
      <c r="G144" s="141">
        <f>SUM(G130:G143)</f>
        <v>183894.45</v>
      </c>
    </row>
    <row r="145" spans="1:9" ht="12.75" thickTop="1" thickBot="1" x14ac:dyDescent="0.25">
      <c r="A145" s="33" t="s">
        <v>244</v>
      </c>
      <c r="C145" s="86">
        <f>(C115+C128+C144)</f>
        <v>7474769.6900000004</v>
      </c>
      <c r="D145" s="86">
        <f>(D115+D128+D144)</f>
        <v>170969.45</v>
      </c>
      <c r="E145" s="86">
        <f>(E115+E128+E144)</f>
        <v>332914.68000000005</v>
      </c>
      <c r="F145" s="86">
        <f>(F115+F128+F144)</f>
        <v>72949.5</v>
      </c>
      <c r="G145" s="86">
        <f>(G115+G128+G144)</f>
        <v>183894.45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06/19</v>
      </c>
      <c r="C152" s="152">
        <f>'DOE25'!G492</f>
        <v>0</v>
      </c>
      <c r="D152" s="152">
        <f>'DOE25'!H492</f>
        <v>0</v>
      </c>
      <c r="E152" s="152">
        <f>'DOE25'!I492</f>
        <v>0</v>
      </c>
      <c r="F152" s="152">
        <f>'DOE25'!J492</f>
        <v>0</v>
      </c>
      <c r="G152" s="24" t="s">
        <v>288</v>
      </c>
    </row>
    <row r="153" spans="1:9" x14ac:dyDescent="0.2">
      <c r="A153" s="136" t="s">
        <v>29</v>
      </c>
      <c r="B153" s="152" t="str">
        <f>'DOE25'!F493</f>
        <v>08/24</v>
      </c>
      <c r="C153" s="152">
        <f>'DOE25'!G493</f>
        <v>0</v>
      </c>
      <c r="D153" s="152">
        <f>'DOE25'!H493</f>
        <v>0</v>
      </c>
      <c r="E153" s="152">
        <f>'DOE25'!I493</f>
        <v>0</v>
      </c>
      <c r="F153" s="152">
        <f>'DOE25'!J493</f>
        <v>0</v>
      </c>
      <c r="G153" s="24" t="s">
        <v>288</v>
      </c>
    </row>
    <row r="154" spans="1:9" x14ac:dyDescent="0.2">
      <c r="A154" s="136" t="s">
        <v>30</v>
      </c>
      <c r="B154" s="137">
        <f>'DOE25'!F494</f>
        <v>361500</v>
      </c>
      <c r="C154" s="137">
        <f>'DOE25'!G494</f>
        <v>0</v>
      </c>
      <c r="D154" s="137">
        <f>'DOE25'!H494</f>
        <v>0</v>
      </c>
      <c r="E154" s="137">
        <f>'DOE25'!I494</f>
        <v>0</v>
      </c>
      <c r="F154" s="137">
        <f>'DOE25'!J494</f>
        <v>0</v>
      </c>
      <c r="G154" s="24" t="s">
        <v>288</v>
      </c>
    </row>
    <row r="155" spans="1:9" x14ac:dyDescent="0.2">
      <c r="A155" s="136" t="s">
        <v>31</v>
      </c>
      <c r="B155" s="137">
        <f>'DOE25'!F495</f>
        <v>1.49E-2</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285000</v>
      </c>
      <c r="C159" s="137">
        <f>'DOE25'!G499</f>
        <v>0</v>
      </c>
      <c r="D159" s="137">
        <f>'DOE25'!H499</f>
        <v>0</v>
      </c>
      <c r="E159" s="137">
        <f>'DOE25'!I499</f>
        <v>0</v>
      </c>
      <c r="F159" s="137">
        <f>'DOE25'!J499</f>
        <v>0</v>
      </c>
      <c r="G159" s="138">
        <f t="shared" si="0"/>
        <v>285000</v>
      </c>
    </row>
    <row r="160" spans="1:9" x14ac:dyDescent="0.2">
      <c r="A160" s="22" t="s">
        <v>36</v>
      </c>
      <c r="B160" s="137">
        <f>'DOE25'!F500</f>
        <v>28687.5</v>
      </c>
      <c r="C160" s="137">
        <f>'DOE25'!G500</f>
        <v>0</v>
      </c>
      <c r="D160" s="137">
        <f>'DOE25'!H500</f>
        <v>0</v>
      </c>
      <c r="E160" s="137">
        <f>'DOE25'!I500</f>
        <v>0</v>
      </c>
      <c r="F160" s="137">
        <f>'DOE25'!J500</f>
        <v>0</v>
      </c>
      <c r="G160" s="138">
        <f t="shared" si="0"/>
        <v>28687.5</v>
      </c>
    </row>
    <row r="161" spans="1:7" x14ac:dyDescent="0.2">
      <c r="A161" s="22" t="s">
        <v>37</v>
      </c>
      <c r="B161" s="137">
        <f>'DOE25'!F501</f>
        <v>313687.5</v>
      </c>
      <c r="C161" s="137">
        <f>'DOE25'!G501</f>
        <v>0</v>
      </c>
      <c r="D161" s="137">
        <f>'DOE25'!H501</f>
        <v>0</v>
      </c>
      <c r="E161" s="137">
        <f>'DOE25'!I501</f>
        <v>0</v>
      </c>
      <c r="F161" s="137">
        <f>'DOE25'!J501</f>
        <v>0</v>
      </c>
      <c r="G161" s="138">
        <f t="shared" si="0"/>
        <v>313687.5</v>
      </c>
    </row>
    <row r="162" spans="1:7" x14ac:dyDescent="0.2">
      <c r="A162" s="22" t="s">
        <v>38</v>
      </c>
      <c r="B162" s="137">
        <f>'DOE25'!F502</f>
        <v>75000</v>
      </c>
      <c r="C162" s="137">
        <f>'DOE25'!G502</f>
        <v>0</v>
      </c>
      <c r="D162" s="137">
        <f>'DOE25'!H502</f>
        <v>0</v>
      </c>
      <c r="E162" s="137">
        <f>'DOE25'!I502</f>
        <v>0</v>
      </c>
      <c r="F162" s="137">
        <f>'DOE25'!J502</f>
        <v>0</v>
      </c>
      <c r="G162" s="138">
        <f t="shared" si="0"/>
        <v>75000</v>
      </c>
    </row>
    <row r="163" spans="1:7" x14ac:dyDescent="0.2">
      <c r="A163" s="22" t="s">
        <v>39</v>
      </c>
      <c r="B163" s="137">
        <f>'DOE25'!F503</f>
        <v>12622.5</v>
      </c>
      <c r="C163" s="137">
        <f>'DOE25'!G503</f>
        <v>0</v>
      </c>
      <c r="D163" s="137">
        <f>'DOE25'!H503</f>
        <v>0</v>
      </c>
      <c r="E163" s="137">
        <f>'DOE25'!I503</f>
        <v>0</v>
      </c>
      <c r="F163" s="137">
        <f>'DOE25'!J503</f>
        <v>0</v>
      </c>
      <c r="G163" s="138">
        <f t="shared" si="0"/>
        <v>12622.5</v>
      </c>
    </row>
    <row r="164" spans="1:7" x14ac:dyDescent="0.2">
      <c r="A164" s="22" t="s">
        <v>246</v>
      </c>
      <c r="B164" s="137">
        <f>'DOE25'!F504</f>
        <v>87622.5</v>
      </c>
      <c r="C164" s="137">
        <f>'DOE25'!G504</f>
        <v>0</v>
      </c>
      <c r="D164" s="137">
        <f>'DOE25'!H504</f>
        <v>0</v>
      </c>
      <c r="E164" s="137">
        <f>'DOE25'!I504</f>
        <v>0</v>
      </c>
      <c r="F164" s="137">
        <f>'DOE25'!J504</f>
        <v>0</v>
      </c>
      <c r="G164" s="138">
        <f t="shared" si="0"/>
        <v>87622.5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Lincoln-Woodstock Cooperative School District</v>
      </c>
    </row>
    <row r="3" spans="1:4" x14ac:dyDescent="0.2">
      <c r="B3" s="188" t="s">
        <v>1666</v>
      </c>
    </row>
    <row r="4" spans="1:4" x14ac:dyDescent="0.2">
      <c r="B4" t="s">
        <v>61</v>
      </c>
      <c r="C4" s="179">
        <f>IF('DOE25'!F666+'DOE25'!F671=0,0,ROUND('DOE25'!F673,0))</f>
        <v>25895</v>
      </c>
    </row>
    <row r="5" spans="1:4" x14ac:dyDescent="0.2">
      <c r="B5" t="s">
        <v>700</v>
      </c>
      <c r="C5" s="179">
        <f>IF('DOE25'!G666+'DOE25'!G671=0,0,ROUND('DOE25'!G673,0))</f>
        <v>23147</v>
      </c>
    </row>
    <row r="6" spans="1:4" x14ac:dyDescent="0.2">
      <c r="B6" t="s">
        <v>62</v>
      </c>
      <c r="C6" s="179">
        <f>IF('DOE25'!H666+'DOE25'!H671=0,0,ROUND('DOE25'!H673,0))</f>
        <v>28575</v>
      </c>
    </row>
    <row r="7" spans="1:4" x14ac:dyDescent="0.2">
      <c r="B7" t="s">
        <v>701</v>
      </c>
      <c r="C7" s="179">
        <f>IF('DOE25'!I666+'DOE25'!I671=0,0,ROUND('DOE25'!I673,0))</f>
        <v>25964</v>
      </c>
    </row>
    <row r="9" spans="1:4" x14ac:dyDescent="0.2">
      <c r="A9" s="187" t="s">
        <v>94</v>
      </c>
      <c r="B9" s="188" t="s">
        <v>1671</v>
      </c>
      <c r="C9" s="181" t="s">
        <v>720</v>
      </c>
      <c r="D9" s="181" t="s">
        <v>721</v>
      </c>
    </row>
    <row r="10" spans="1:4" x14ac:dyDescent="0.2">
      <c r="A10">
        <v>1100</v>
      </c>
      <c r="B10" t="s">
        <v>702</v>
      </c>
      <c r="C10" s="179">
        <f>ROUND('DOE25'!L198+'DOE25'!L216+'DOE25'!L234+'DOE25'!L277+'DOE25'!L296+'DOE25'!L315,0)</f>
        <v>3711014</v>
      </c>
      <c r="D10" s="182">
        <f>ROUND((C10/$C$28)*100,1)</f>
        <v>47.8</v>
      </c>
    </row>
    <row r="11" spans="1:4" x14ac:dyDescent="0.2">
      <c r="A11">
        <v>1200</v>
      </c>
      <c r="B11" t="s">
        <v>703</v>
      </c>
      <c r="C11" s="179">
        <f>ROUND('DOE25'!L199+'DOE25'!L217+'DOE25'!L235+'DOE25'!L278+'DOE25'!L297+'DOE25'!L316,0)</f>
        <v>977485</v>
      </c>
      <c r="D11" s="182">
        <f>ROUND((C11/$C$28)*100,1)</f>
        <v>12.6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112705</v>
      </c>
      <c r="D13" s="182">
        <f>ROUND((C13/$C$28)*100,1)</f>
        <v>1.5</v>
      </c>
    </row>
    <row r="14" spans="1:4" x14ac:dyDescent="0.2">
      <c r="D14" s="182"/>
    </row>
    <row r="15" spans="1:4" x14ac:dyDescent="0.2">
      <c r="A15">
        <v>2100</v>
      </c>
      <c r="B15" t="s">
        <v>706</v>
      </c>
      <c r="C15" s="179">
        <f>ROUND('DOE25'!L203+'DOE25'!L221+'DOE25'!L239+'DOE25'!L282+'DOE25'!L301+'DOE25'!L320,0)</f>
        <v>766814</v>
      </c>
      <c r="D15" s="182">
        <f t="shared" ref="D15:D27" si="0">ROUND((C15/$C$28)*100,1)</f>
        <v>9.9</v>
      </c>
    </row>
    <row r="16" spans="1:4" x14ac:dyDescent="0.2">
      <c r="A16">
        <v>2200</v>
      </c>
      <c r="B16" t="s">
        <v>707</v>
      </c>
      <c r="C16" s="179">
        <f>ROUND('DOE25'!L204+'DOE25'!L222+'DOE25'!L240+'DOE25'!L283+'DOE25'!L302+'DOE25'!L321,0)</f>
        <v>217380</v>
      </c>
      <c r="D16" s="182">
        <f t="shared" si="0"/>
        <v>2.8</v>
      </c>
    </row>
    <row r="17" spans="1:4" x14ac:dyDescent="0.2">
      <c r="A17" s="183" t="s">
        <v>723</v>
      </c>
      <c r="B17" t="s">
        <v>738</v>
      </c>
      <c r="C17" s="179">
        <f>ROUND('DOE25'!L205+'DOE25'!L210+'DOE25'!L223+'DOE25'!L228+'DOE25'!L241+'DOE25'!L246+'DOE25'!L284+'DOE25'!L289+'DOE25'!L303+'DOE25'!L308+'DOE25'!L322+'DOE25'!L327,0)</f>
        <v>610103</v>
      </c>
      <c r="D17" s="182">
        <f t="shared" si="0"/>
        <v>7.9</v>
      </c>
    </row>
    <row r="18" spans="1:4" x14ac:dyDescent="0.2">
      <c r="A18">
        <v>2400</v>
      </c>
      <c r="B18" t="s">
        <v>711</v>
      </c>
      <c r="C18" s="179">
        <f>ROUND('DOE25'!L206+'DOE25'!L224+'DOE25'!L242+'DOE25'!L285+'DOE25'!L304+'DOE25'!L323,0)</f>
        <v>361496</v>
      </c>
      <c r="D18" s="182">
        <f t="shared" si="0"/>
        <v>4.7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588569</v>
      </c>
      <c r="D20" s="182">
        <f t="shared" si="0"/>
        <v>7.6</v>
      </c>
    </row>
    <row r="21" spans="1:4" x14ac:dyDescent="0.2">
      <c r="A21">
        <v>2700</v>
      </c>
      <c r="B21" t="s">
        <v>710</v>
      </c>
      <c r="C21" s="179">
        <f>ROUND('DOE25'!L209+'DOE25'!L227+'DOE25'!L245+'DOE25'!L288+'DOE25'!L307+'DOE25'!L326,0)</f>
        <v>191293</v>
      </c>
      <c r="D21" s="182">
        <f t="shared" si="0"/>
        <v>2.5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16486</v>
      </c>
      <c r="D25" s="182">
        <f t="shared" si="0"/>
        <v>0.2</v>
      </c>
    </row>
    <row r="26" spans="1:4" x14ac:dyDescent="0.2">
      <c r="A26" s="183" t="s">
        <v>717</v>
      </c>
      <c r="B26" t="s">
        <v>718</v>
      </c>
      <c r="C26" s="179">
        <f>'DOE25'!L269+'DOE25'!L270+'DOE25'!L350+'DOE25'!L351</f>
        <v>36689.4</v>
      </c>
      <c r="D26" s="182">
        <f t="shared" si="0"/>
        <v>0.5</v>
      </c>
    </row>
    <row r="27" spans="1:4" x14ac:dyDescent="0.2">
      <c r="A27">
        <v>3100</v>
      </c>
      <c r="B27" t="s">
        <v>11</v>
      </c>
      <c r="C27" s="179">
        <f>ROUND('DOE25'!L363-'DOE25'!L362,0)-SUM('DOE25'!G97:G110)</f>
        <v>165503.07</v>
      </c>
      <c r="D27" s="182">
        <f t="shared" si="0"/>
        <v>2.1</v>
      </c>
    </row>
    <row r="28" spans="1:4" x14ac:dyDescent="0.2">
      <c r="B28" s="187" t="s">
        <v>719</v>
      </c>
      <c r="C28" s="180">
        <f>SUM(C10:C27)</f>
        <v>7755537.4700000007</v>
      </c>
      <c r="D28" s="184">
        <f>ROUND(SUM(D10:D27),0)</f>
        <v>100</v>
      </c>
    </row>
    <row r="29" spans="1:4" x14ac:dyDescent="0.2">
      <c r="A29">
        <v>4000</v>
      </c>
      <c r="B29" t="s">
        <v>724</v>
      </c>
      <c r="C29" s="179">
        <f>ROUND('DOE25'!L256+'DOE25'!L337+'DOE25'!L375+'DOE25'!L376+'DOE25'!L377+'DOE25'!L378+'DOE25'!L379+'DOE25'!L380+'DOE25'!L381,0)</f>
        <v>72950</v>
      </c>
    </row>
    <row r="30" spans="1:4" x14ac:dyDescent="0.2">
      <c r="B30" s="187" t="s">
        <v>725</v>
      </c>
      <c r="C30" s="180">
        <f>SUM(C28:C29)</f>
        <v>7828487.4700000007</v>
      </c>
    </row>
    <row r="31" spans="1:4" x14ac:dyDescent="0.2">
      <c r="B31" s="33"/>
      <c r="C31" s="180"/>
    </row>
    <row r="32" spans="1:4" x14ac:dyDescent="0.2">
      <c r="A32">
        <v>5100</v>
      </c>
      <c r="B32" s="33" t="s">
        <v>726</v>
      </c>
      <c r="C32" s="180">
        <f>ROUND('DOE25'!L261+'DOE25'!L342,0)</f>
        <v>76500</v>
      </c>
    </row>
    <row r="34" spans="1:4" x14ac:dyDescent="0.2">
      <c r="A34" s="187" t="s">
        <v>94</v>
      </c>
      <c r="B34" s="188" t="s">
        <v>1667</v>
      </c>
      <c r="C34" s="181" t="s">
        <v>720</v>
      </c>
      <c r="D34" s="181" t="s">
        <v>721</v>
      </c>
    </row>
    <row r="35" spans="1:4" x14ac:dyDescent="0.2">
      <c r="A35">
        <v>1100</v>
      </c>
      <c r="B35" s="185" t="s">
        <v>727</v>
      </c>
      <c r="C35" s="179">
        <f>ROUND('DOE25'!F60+'DOE25'!G60+'DOE25'!H60+'DOE25'!I60+'DOE25'!J60,0)</f>
        <v>5112574</v>
      </c>
      <c r="D35" s="182">
        <f t="shared" ref="D35:D40" si="1">ROUND((C35/$C$41)*100,1)</f>
        <v>60.5</v>
      </c>
    </row>
    <row r="36" spans="1:4" x14ac:dyDescent="0.2">
      <c r="B36" s="185" t="s">
        <v>739</v>
      </c>
      <c r="C36" s="179">
        <f>SUM('DOE25'!F112:J112)-SUM('DOE25'!G97:G110)+('DOE25'!F175+'DOE25'!F176+'DOE25'!I175+'DOE25'!I176)-C35</f>
        <v>14830.519999999553</v>
      </c>
      <c r="D36" s="182">
        <f t="shared" si="1"/>
        <v>0.2</v>
      </c>
    </row>
    <row r="37" spans="1:4" x14ac:dyDescent="0.2">
      <c r="A37" s="183" t="s">
        <v>835</v>
      </c>
      <c r="B37" s="185" t="s">
        <v>728</v>
      </c>
      <c r="C37" s="179">
        <f>ROUND('DOE25'!F117+'DOE25'!F118,0)</f>
        <v>2703878</v>
      </c>
      <c r="D37" s="182">
        <f t="shared" si="1"/>
        <v>32</v>
      </c>
    </row>
    <row r="38" spans="1:4" x14ac:dyDescent="0.2">
      <c r="A38" s="183" t="s">
        <v>734</v>
      </c>
      <c r="B38" s="185" t="s">
        <v>729</v>
      </c>
      <c r="C38" s="179">
        <f>ROUND(SUM('DOE25'!F140:J140)-SUM('DOE25'!F117:F119),0)</f>
        <v>4139</v>
      </c>
      <c r="D38" s="182">
        <f t="shared" si="1"/>
        <v>0</v>
      </c>
    </row>
    <row r="39" spans="1:4" x14ac:dyDescent="0.2">
      <c r="A39">
        <v>4000</v>
      </c>
      <c r="B39" s="185" t="s">
        <v>730</v>
      </c>
      <c r="C39" s="179">
        <f>ROUND('DOE25'!F170+'DOE25'!G170+'DOE25'!H170+'DOE25'!I170,0)</f>
        <v>619543</v>
      </c>
      <c r="D39" s="182">
        <f t="shared" si="1"/>
        <v>7.3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8454964.5199999996</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7" sqref="A7"/>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Lincoln-Woodstock Cooperative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v>3</v>
      </c>
      <c r="B4" s="219">
        <v>24</v>
      </c>
      <c r="C4" s="359" t="s">
        <v>1677</v>
      </c>
      <c r="D4" s="359"/>
      <c r="E4" s="359"/>
      <c r="F4" s="359"/>
      <c r="G4" s="359"/>
      <c r="H4" s="359"/>
      <c r="I4" s="359"/>
      <c r="J4" s="359"/>
      <c r="K4" s="359"/>
      <c r="L4" s="359"/>
      <c r="M4" s="360"/>
      <c r="N4" s="126"/>
      <c r="O4" s="126"/>
      <c r="P4" s="126"/>
      <c r="Q4" s="126"/>
      <c r="R4" s="126"/>
      <c r="S4" s="126"/>
      <c r="T4" s="126"/>
      <c r="U4" s="126"/>
      <c r="V4" s="126"/>
      <c r="W4" s="126"/>
      <c r="X4" s="126"/>
      <c r="Y4" s="126"/>
      <c r="Z4" s="126"/>
    </row>
    <row r="5" spans="1:26" x14ac:dyDescent="0.2">
      <c r="A5" s="218">
        <v>5</v>
      </c>
      <c r="B5" s="219">
        <v>2</v>
      </c>
      <c r="C5" s="359" t="s">
        <v>1675</v>
      </c>
      <c r="D5" s="359"/>
      <c r="E5" s="359"/>
      <c r="F5" s="359"/>
      <c r="G5" s="359"/>
      <c r="H5" s="359"/>
      <c r="I5" s="359"/>
      <c r="J5" s="359"/>
      <c r="K5" s="359"/>
      <c r="L5" s="359"/>
      <c r="M5" s="360"/>
      <c r="N5" s="126"/>
      <c r="O5" s="126"/>
      <c r="P5" s="126"/>
      <c r="Q5" s="126"/>
      <c r="R5" s="126"/>
      <c r="S5" s="126"/>
      <c r="T5" s="126"/>
      <c r="U5" s="126"/>
      <c r="V5" s="126"/>
      <c r="W5" s="126"/>
      <c r="X5" s="126"/>
      <c r="Y5" s="126"/>
      <c r="Z5" s="126"/>
    </row>
    <row r="6" spans="1:26" x14ac:dyDescent="0.2">
      <c r="A6" s="218">
        <v>5</v>
      </c>
      <c r="B6" s="219">
        <v>1</v>
      </c>
      <c r="C6" s="359" t="s">
        <v>1676</v>
      </c>
      <c r="D6" s="359"/>
      <c r="E6" s="359"/>
      <c r="F6" s="359"/>
      <c r="G6" s="359"/>
      <c r="H6" s="359"/>
      <c r="I6" s="359"/>
      <c r="J6" s="359"/>
      <c r="K6" s="359"/>
      <c r="L6" s="359"/>
      <c r="M6" s="360"/>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0">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F2:I2"/>
    <mergeCell ref="P29:Z29"/>
    <mergeCell ref="AC29:AM29"/>
    <mergeCell ref="BC29:BM29"/>
    <mergeCell ref="BP29:BZ29"/>
    <mergeCell ref="CC29:CM29"/>
    <mergeCell ref="A2:E2"/>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2021-10-12T17:55:05Z</cp:lastPrinted>
  <dcterms:created xsi:type="dcterms:W3CDTF">1997-12-04T19:04:30Z</dcterms:created>
  <dcterms:modified xsi:type="dcterms:W3CDTF">2021-12-08T15:13:49Z</dcterms:modified>
</cp:coreProperties>
</file>