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0430" windowHeight="831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24" i="17" l="1"/>
  <c r="H583" i="1"/>
  <c r="G583" i="1"/>
  <c r="F580" i="1"/>
  <c r="F126" i="1"/>
  <c r="J605" i="1" l="1"/>
  <c r="I605" i="1"/>
  <c r="H605" i="1"/>
  <c r="J595" i="1"/>
  <c r="I595" i="1"/>
  <c r="H595" i="1"/>
  <c r="J96" i="1"/>
  <c r="I254" i="1"/>
  <c r="G245" i="1"/>
  <c r="F245" i="1"/>
  <c r="H241" i="1"/>
  <c r="G241" i="1"/>
  <c r="F241" i="1"/>
  <c r="G237" i="1"/>
  <c r="F237" i="1"/>
  <c r="I235" i="1"/>
  <c r="I234" i="1"/>
  <c r="G234" i="1"/>
  <c r="F234" i="1"/>
  <c r="G227" i="1"/>
  <c r="H223" i="1"/>
  <c r="G223" i="1"/>
  <c r="F223" i="1"/>
  <c r="G219" i="1"/>
  <c r="F219" i="1"/>
  <c r="I217" i="1"/>
  <c r="I216" i="1"/>
  <c r="G216" i="1"/>
  <c r="F216" i="1"/>
  <c r="G209" i="1"/>
  <c r="H205" i="1"/>
  <c r="G205" i="1"/>
  <c r="F205" i="1"/>
  <c r="G201" i="1"/>
  <c r="I199" i="1"/>
  <c r="I198" i="1"/>
  <c r="G198" i="1"/>
  <c r="F198" i="1"/>
  <c r="F99" i="1" l="1"/>
  <c r="F110" i="1"/>
  <c r="I278" i="1"/>
  <c r="K322" i="1"/>
  <c r="J297" i="1"/>
  <c r="F297" i="1"/>
  <c r="J278" i="1"/>
  <c r="H278" i="1"/>
  <c r="G278" i="1"/>
  <c r="F278" i="1"/>
  <c r="J316" i="1"/>
  <c r="I316" i="1"/>
  <c r="H316" i="1"/>
  <c r="G316" i="1"/>
  <c r="F316" i="1"/>
  <c r="I297" i="1"/>
  <c r="H297" i="1"/>
  <c r="G297" i="1"/>
  <c r="J277" i="1"/>
  <c r="I277" i="1"/>
  <c r="G277" i="1"/>
  <c r="F277" i="1"/>
  <c r="H320" i="1"/>
  <c r="H301" i="1"/>
  <c r="H288" i="1"/>
  <c r="K284" i="1"/>
  <c r="H282" i="1"/>
  <c r="H159"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1" i="2"/>
  <c r="E124"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G655" i="1"/>
  <c r="H655" i="1"/>
  <c r="H656" i="1"/>
  <c r="I170" i="1"/>
  <c r="G477" i="1"/>
  <c r="D50" i="2" l="1"/>
  <c r="E131" i="2"/>
  <c r="E123" i="2"/>
  <c r="G663" i="1"/>
  <c r="J652" i="1"/>
  <c r="H477" i="1"/>
  <c r="H625" i="1" s="1"/>
  <c r="J625" i="1" s="1"/>
  <c r="J656" i="1"/>
  <c r="G409" i="1"/>
  <c r="H646" i="1" s="1"/>
  <c r="J646" i="1" s="1"/>
  <c r="E120" i="2"/>
  <c r="K339" i="1"/>
  <c r="K353" i="1" s="1"/>
  <c r="E110" i="2"/>
  <c r="G339" i="1"/>
  <c r="G353" i="1" s="1"/>
  <c r="G662" i="1"/>
  <c r="G553" i="1"/>
  <c r="E119" i="2"/>
  <c r="H663" i="1"/>
  <c r="C112" i="2"/>
  <c r="C110" i="2"/>
  <c r="D15" i="13"/>
  <c r="C15" i="13" s="1"/>
  <c r="D6" i="13"/>
  <c r="C6" i="13" s="1"/>
  <c r="A40" i="12"/>
  <c r="C13" i="10"/>
  <c r="C12" i="10"/>
  <c r="C121" i="2"/>
  <c r="C120" i="2"/>
  <c r="J258" i="1"/>
  <c r="J272" i="1" s="1"/>
  <c r="H409" i="1"/>
  <c r="H645" i="1" s="1"/>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I663" i="1" l="1"/>
  <c r="E115" i="2"/>
  <c r="E145" i="2" s="1"/>
  <c r="G24" i="14"/>
  <c r="H24" i="14" s="1"/>
  <c r="I24" i="14" s="1"/>
  <c r="F661" i="1"/>
  <c r="F665" i="1" s="1"/>
  <c r="F668" i="1" s="1"/>
  <c r="H661" i="1"/>
  <c r="H665" i="1" s="1"/>
  <c r="H649" i="1"/>
  <c r="J649" i="1" s="1"/>
  <c r="F194" i="1"/>
  <c r="G628" i="1" s="1"/>
  <c r="J628" i="1" s="1"/>
  <c r="C81" i="2"/>
  <c r="E5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68" i="1" l="1"/>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<sst xmlns="http://schemas.openxmlformats.org/spreadsheetml/2006/main" count="5603" uniqueCount="1673">
  <si>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</si>
  <si>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</si>
  <si>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</si>
  <si>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</si>
  <si>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</si>
  <si>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</si>
  <si>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</si>
  <si>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</si>
  <si>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</si>
  <si>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</si>
  <si>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</si>
  <si>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</si>
  <si>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</si>
  <si>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</si>
  <si>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</si>
  <si>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</si>
  <si>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</si>
  <si>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</si>
  <si>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</si>
  <si>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</si>
  <si>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</si>
  <si>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</si>
  <si>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</si>
  <si>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</si>
  <si>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</si>
  <si>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</si>
  <si>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</si>
  <si>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</si>
  <si>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</si>
  <si>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</si>
  <si>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</si>
  <si>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</si>
  <si>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</si>
  <si>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</si>
  <si>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</si>
  <si>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</si>
  <si>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</si>
  <si>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</si>
  <si>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</si>
  <si>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</si>
  <si>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</si>
  <si>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</si>
  <si>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</si>
  <si>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</si>
  <si>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</si>
  <si>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</si>
  <si>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</si>
  <si>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</si>
  <si>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</si>
  <si>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</si>
  <si>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</si>
  <si>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</si>
  <si>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</si>
  <si>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</si>
  <si>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</si>
  <si>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</si>
  <si>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</si>
  <si>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</si>
  <si>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</si>
  <si>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</si>
  <si>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</si>
  <si>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</si>
  <si>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</si>
  <si>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</si>
  <si>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</si>
  <si>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</si>
  <si>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</si>
  <si>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</si>
  <si>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</si>
  <si>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</si>
  <si>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</si>
  <si>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</si>
  <si>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</si>
  <si>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</si>
  <si>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</si>
  <si>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</si>
  <si>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</si>
  <si>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</si>
  <si>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</si>
  <si>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</si>
  <si>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</si>
  <si>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</si>
  <si>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</si>
  <si>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</si>
  <si>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</si>
  <si>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</si>
  <si>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</si>
  <si>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</si>
  <si>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</si>
  <si>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</si>
  <si>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</si>
  <si>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</si>
  <si>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</si>
  <si>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</si>
  <si>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</si>
  <si>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</si>
  <si>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</si>
  <si>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</si>
  <si>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</si>
  <si>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</si>
  <si>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</si>
  <si>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</si>
  <si>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</si>
  <si>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</si>
  <si>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</si>
  <si>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</si>
  <si>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</si>
  <si>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</si>
  <si>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</si>
  <si>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</si>
  <si>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</si>
  <si>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</si>
  <si>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</si>
  <si>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</si>
  <si>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</si>
  <si>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</si>
  <si>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</si>
  <si>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</si>
  <si>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</si>
  <si>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</si>
  <si>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</si>
  <si>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</si>
  <si>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</si>
  <si>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</si>
  <si>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</si>
  <si>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</si>
  <si>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</si>
  <si>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</si>
  <si>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</si>
  <si>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</si>
  <si>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</si>
  <si>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</si>
  <si>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</si>
  <si>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</si>
  <si>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</si>
  <si>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</si>
  <si>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</si>
  <si>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</si>
  <si>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</si>
  <si>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</si>
  <si>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</si>
  <si>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</si>
  <si>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</si>
  <si>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</si>
  <si>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</si>
  <si>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</si>
  <si>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</si>
  <si>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</si>
  <si>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</si>
  <si>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</si>
  <si>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</si>
  <si>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</si>
  <si>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</si>
  <si>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</si>
  <si>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</si>
  <si>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</si>
  <si>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</si>
  <si>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</si>
  <si>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</si>
  <si>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</si>
  <si>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</si>
  <si>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</si>
  <si>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</si>
  <si>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</si>
  <si>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</si>
  <si>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</si>
  <si>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</si>
  <si>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</si>
  <si>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</si>
  <si>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</si>
  <si>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</si>
  <si>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</si>
  <si>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</si>
  <si>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</si>
  <si>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</si>
  <si>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</si>
  <si>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</si>
  <si>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</si>
  <si>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</si>
  <si>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</si>
  <si>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</si>
  <si>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</si>
  <si>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</si>
  <si>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</si>
  <si>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</si>
  <si>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</si>
  <si>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</si>
  <si>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</si>
  <si>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</si>
  <si>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</si>
  <si>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</si>
  <si>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</si>
  <si>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</si>
  <si>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</si>
  <si>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</si>
  <si>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</si>
  <si>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</si>
  <si>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</si>
  <si>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</si>
  <si>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</si>
  <si>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</si>
  <si>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</si>
  <si>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</si>
  <si>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</si>
  <si>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</si>
  <si>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</si>
  <si>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</si>
  <si>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</si>
  <si>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</si>
  <si>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</si>
  <si>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</si>
  <si>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</si>
  <si>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</si>
  <si>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</si>
  <si>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</si>
  <si>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</si>
  <si>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</si>
  <si>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</si>
  <si>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</si>
  <si>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</si>
  <si>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</si>
  <si>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</si>
  <si>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</si>
  <si>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</si>
  <si>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</si>
  <si>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</si>
  <si>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</si>
  <si>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</si>
  <si>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</si>
  <si>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</si>
  <si>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</si>
  <si>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</si>
  <si>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</si>
  <si>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</si>
  <si>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</si>
  <si>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</si>
  <si>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</si>
  <si>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</si>
  <si>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</si>
  <si>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</si>
  <si>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</si>
  <si>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</si>
  <si>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</si>
  <si>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</si>
  <si>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</si>
  <si>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</si>
  <si>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</si>
  <si>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</si>
  <si>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</si>
  <si>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</si>
  <si>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</si>
  <si>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</si>
  <si>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</si>
  <si>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</si>
  <si>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</si>
  <si>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</si>
  <si>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</si>
  <si>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</si>
  <si>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</si>
  <si>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</si>
  <si>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</si>
  <si>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</si>
  <si>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</si>
  <si>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</si>
  <si>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</si>
  <si>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</si>
  <si>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</si>
  <si>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</si>
  <si>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</si>
  <si>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</si>
  <si>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</si>
  <si>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</si>
  <si>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</si>
  <si>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</si>
  <si>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</si>
  <si>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</si>
  <si>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</si>
  <si>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</si>
  <si>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</si>
  <si>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</si>
  <si>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</si>
  <si>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</si>
  <si>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</si>
  <si>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</si>
  <si>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</si>
  <si>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</si>
  <si>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</si>
  <si>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</si>
  <si>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</si>
  <si>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</si>
  <si>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</si>
  <si>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</si>
  <si>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</si>
  <si>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</si>
  <si>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</si>
  <si>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</si>
  <si>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</si>
  <si>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</si>
  <si>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</si>
  <si>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</si>
  <si>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</si>
  <si>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</si>
  <si>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</si>
  <si>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</si>
  <si>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</si>
  <si>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</si>
  <si>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</si>
  <si>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</si>
  <si>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</si>
  <si>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</si>
  <si>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</si>
  <si>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</si>
  <si>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</si>
  <si>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</si>
  <si>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</si>
  <si>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</si>
  <si>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</si>
  <si>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</si>
  <si>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</si>
  <si>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</si>
  <si>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</si>
  <si>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</si>
  <si>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</si>
  <si>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</si>
  <si>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</si>
  <si>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</si>
  <si>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</si>
  <si>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</si>
  <si>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</si>
  <si>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</si>
  <si>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</si>
  <si>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</si>
  <si>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</si>
  <si>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</si>
  <si>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</si>
  <si>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</si>
  <si>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</si>
  <si>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</si>
  <si>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</si>
  <si>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</si>
  <si>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</si>
  <si>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</si>
  <si>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</si>
  <si>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</si>
  <si>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</si>
  <si>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</si>
  <si>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</si>
  <si>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</si>
  <si>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</si>
  <si>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</si>
  <si>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</si>
  <si>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</si>
  <si>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</si>
  <si>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</si>
  <si>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</si>
  <si>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</si>
  <si>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</si>
  <si>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</si>
  <si>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</si>
  <si>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</si>
  <si>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</si>
  <si>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</si>
  <si>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</si>
  <si>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</si>
  <si>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</si>
  <si>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</si>
  <si>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</si>
  <si>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</si>
  <si>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</si>
  <si>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</si>
  <si>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</si>
  <si>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</si>
  <si>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</si>
  <si>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</si>
  <si>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</si>
  <si>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</si>
  <si>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</si>
  <si>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</si>
  <si>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</si>
  <si>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</si>
  <si>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</si>
  <si>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</si>
  <si>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</si>
  <si>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</si>
  <si>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</si>
  <si>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</si>
  <si>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</si>
  <si>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</si>
  <si>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</si>
  <si>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</si>
  <si>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</si>
  <si>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</si>
  <si>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</si>
  <si>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</si>
  <si>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</si>
  <si>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</si>
  <si>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</si>
  <si>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</si>
  <si>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</si>
  <si>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</si>
  <si>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</si>
  <si>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</si>
  <si>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</si>
  <si>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</si>
  <si>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</si>
  <si>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</si>
  <si>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</si>
  <si>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</si>
  <si>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</si>
  <si>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</si>
  <si>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</si>
  <si>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</si>
  <si>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</si>
  <si>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</si>
  <si>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</si>
  <si>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</si>
  <si>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</si>
  <si>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</si>
  <si>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</si>
  <si>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</si>
  <si>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</si>
  <si>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</si>
  <si>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</si>
  <si>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</si>
  <si>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</si>
  <si>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</si>
  <si>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</si>
  <si>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</si>
  <si>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</si>
  <si>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</si>
  <si>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</si>
  <si>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</si>
  <si>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</si>
  <si>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</si>
  <si>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</si>
  <si>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</si>
  <si>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</si>
  <si>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</si>
  <si>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</si>
  <si>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</si>
  <si>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</si>
  <si>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</si>
  <si>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</si>
  <si>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</si>
  <si>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</si>
  <si>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</si>
  <si>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</si>
  <si>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</si>
  <si>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</si>
  <si>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</si>
  <si>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</si>
  <si>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</si>
  <si>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</si>
  <si>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</si>
  <si>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</si>
  <si>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</si>
  <si>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</si>
  <si>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</si>
  <si>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</si>
  <si>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</si>
  <si>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</si>
  <si>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</si>
  <si>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</si>
  <si>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</si>
  <si>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</si>
  <si>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</si>
  <si>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</si>
  <si>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</si>
  <si>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</si>
  <si>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</si>
  <si>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</si>
  <si>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</si>
  <si>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</si>
  <si>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</si>
  <si>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</si>
  <si>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</si>
  <si>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</si>
  <si>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</si>
  <si>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</si>
  <si>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</si>
  <si>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</si>
  <si>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</si>
  <si>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</si>
  <si>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</si>
  <si>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</si>
  <si>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</si>
  <si>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</si>
  <si>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</si>
  <si>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</si>
  <si>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</si>
  <si>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</si>
  <si>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</si>
  <si>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</si>
  <si>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</si>
  <si>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</si>
  <si>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</si>
  <si>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</si>
  <si>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</si>
  <si>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</si>
  <si>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</si>
  <si>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</si>
  <si>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</si>
  <si>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</si>
  <si>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</si>
  <si>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</si>
  <si>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</si>
  <si>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</si>
  <si>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</si>
  <si>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</si>
  <si>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</si>
  <si>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</si>
  <si>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</si>
  <si>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</si>
  <si>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</si>
  <si>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</si>
  <si>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</si>
  <si>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</si>
  <si>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</si>
  <si>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</si>
  <si>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</si>
  <si>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</si>
  <si>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</si>
  <si>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</si>
  <si>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</si>
  <si>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</si>
  <si>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</si>
  <si>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</si>
  <si>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</si>
  <si>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</si>
  <si>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</si>
  <si>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</si>
  <si>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</si>
  <si>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</si>
  <si>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</si>
  <si>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</si>
  <si>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</si>
  <si>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</si>
  <si>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</si>
  <si>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</si>
  <si>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</si>
  <si>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</si>
  <si>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</si>
  <si>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</si>
  <si>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</si>
  <si>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</si>
  <si>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</si>
  <si>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</si>
  <si>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</si>
  <si>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</si>
  <si>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</si>
  <si>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</si>
  <si>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</si>
  <si>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</si>
  <si>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</si>
  <si>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</si>
  <si>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</si>
  <si>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</si>
  <si>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</si>
  <si>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</si>
  <si>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</si>
  <si>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</si>
  <si>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</si>
  <si>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</si>
  <si>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</si>
  <si>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</si>
  <si>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</si>
  <si>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</si>
  <si>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</si>
  <si>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</si>
  <si>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</si>
  <si>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</si>
  <si>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</si>
  <si>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</si>
  <si>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</si>
  <si>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</si>
  <si>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</si>
  <si>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</si>
  <si>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</si>
  <si>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</si>
  <si>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</si>
  <si>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</si>
  <si>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</si>
  <si>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</si>
  <si>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</si>
  <si>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</si>
  <si>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</si>
  <si>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</si>
  <si>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</si>
  <si>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</si>
  <si>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</si>
  <si>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</si>
  <si>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</si>
  <si>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</si>
  <si>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</si>
  <si>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</si>
  <si>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</si>
  <si>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</si>
  <si>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</si>
  <si>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</si>
  <si>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</si>
  <si>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</si>
  <si>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</si>
  <si>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</si>
  <si>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</si>
  <si>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</si>
  <si>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</si>
  <si>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</si>
  <si>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</si>
  <si>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</si>
  <si>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</si>
  <si>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</si>
  <si>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</si>
  <si>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</si>
  <si>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</si>
  <si>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</si>
  <si>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</si>
  <si>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</si>
  <si>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</si>
  <si>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</si>
  <si>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</si>
  <si>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</si>
  <si>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</si>
  <si>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</si>
  <si>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</si>
  <si>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</si>
  <si>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</si>
  <si>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</si>
  <si>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</si>
  <si>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</si>
  <si>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</si>
  <si>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</si>
  <si>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</si>
  <si>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</si>
  <si>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</si>
  <si>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</si>
  <si>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</si>
  <si>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</si>
  <si>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</si>
  <si>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</si>
  <si>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</si>
  <si>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</si>
  <si>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</si>
  <si>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</si>
  <si>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</si>
  <si>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</si>
  <si>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</si>
  <si>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</si>
  <si>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</si>
  <si>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</si>
  <si>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</si>
  <si>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</si>
  <si>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</si>
  <si>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</si>
  <si>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</si>
  <si>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</si>
  <si>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</si>
  <si>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</si>
  <si>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</si>
  <si>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</si>
  <si>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</si>
  <si>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</si>
  <si>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</si>
  <si>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</si>
  <si>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</si>
  <si>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</si>
  <si>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</si>
  <si>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</si>
  <si>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</si>
  <si>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</si>
  <si>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</si>
  <si>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</si>
  <si>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</si>
  <si>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</si>
  <si>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</si>
  <si>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</si>
  <si>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</si>
  <si>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</si>
  <si>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</si>
  <si>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</si>
  <si>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</si>
  <si>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</si>
  <si>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</si>
  <si>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</si>
  <si>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</si>
  <si>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</si>
  <si>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</si>
  <si>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</si>
  <si>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</si>
  <si>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</si>
  <si>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</si>
  <si>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</si>
  <si>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</si>
  <si>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</si>
  <si>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</si>
  <si>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</si>
  <si>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</si>
  <si>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</si>
  <si>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</si>
  <si>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</si>
  <si>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</si>
  <si>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</si>
  <si>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</si>
  <si>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</si>
  <si>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</si>
  <si>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</si>
  <si>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</si>
  <si>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</si>
  <si>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</si>
  <si>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</si>
  <si>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</si>
  <si>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</si>
  <si>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</si>
  <si>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</si>
  <si>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</si>
  <si>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</si>
  <si>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</si>
  <si>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</si>
  <si>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</si>
  <si>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</si>
  <si>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</si>
  <si>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</si>
  <si>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</si>
  <si>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</si>
  <si>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</si>
  <si>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</si>
  <si>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</si>
  <si>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</si>
  <si>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</si>
  <si>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</si>
  <si>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</si>
  <si>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</si>
  <si>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</si>
  <si>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</si>
  <si>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</si>
  <si>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</si>
  <si>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</si>
  <si>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</si>
  <si>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</si>
  <si>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</si>
  <si>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</si>
  <si>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</si>
  <si>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</si>
  <si>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</si>
  <si>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</si>
  <si>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</si>
  <si>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</si>
  <si>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</si>
  <si>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</si>
  <si>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</si>
  <si>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</si>
  <si>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</si>
  <si>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</si>
  <si>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</si>
  <si>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</si>
  <si>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</si>
  <si>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</si>
  <si>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</si>
  <si>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</si>
  <si>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</si>
  <si>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</si>
  <si>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</si>
  <si>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</si>
  <si>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</si>
  <si>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</si>
  <si>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</si>
  <si>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</si>
  <si>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</si>
  <si>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</si>
  <si>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</si>
  <si>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</si>
  <si>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</si>
  <si>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</si>
  <si>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</si>
  <si>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</si>
  <si>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</si>
  <si>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</si>
  <si>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</si>
  <si>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</si>
  <si>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</si>
  <si>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</si>
  <si>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</si>
  <si>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</si>
  <si>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</si>
  <si>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</si>
  <si>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</si>
  <si>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</si>
  <si>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</si>
  <si>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</si>
  <si>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</si>
  <si>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</si>
  <si>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</si>
  <si>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</si>
  <si>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</si>
  <si>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</si>
  <si>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</si>
  <si>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</si>
  <si>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</si>
  <si>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</si>
  <si>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</si>
  <si>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</si>
  <si>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</si>
  <si>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</si>
  <si>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</si>
  <si>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</si>
  <si>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</si>
  <si>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</si>
  <si>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</si>
  <si>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</si>
  <si>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</si>
  <si>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</si>
  <si>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</si>
  <si>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</si>
  <si>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</si>
  <si>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</si>
  <si>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</si>
  <si>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</si>
  <si>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</si>
  <si>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</si>
  <si>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</si>
  <si>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</si>
  <si>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</si>
  <si>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</si>
  <si>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</si>
  <si>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</si>
  <si>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</si>
  <si>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</si>
  <si>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</si>
  <si>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</si>
  <si>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</si>
  <si>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</si>
  <si>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</si>
  <si>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</si>
  <si>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</si>
  <si>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</si>
  <si>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</si>
  <si>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</si>
  <si>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</si>
  <si>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</si>
  <si>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</si>
  <si>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</si>
  <si>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</si>
  <si>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</si>
  <si>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</si>
  <si>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</si>
  <si>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</si>
  <si>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</si>
  <si>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</si>
  <si>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</si>
  <si>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</si>
  <si>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</si>
  <si>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</si>
  <si>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</si>
  <si>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</si>
  <si>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</si>
  <si>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</si>
  <si>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</si>
  <si>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</si>
  <si>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</si>
  <si>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</si>
  <si>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</si>
  <si>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</si>
  <si>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</si>
  <si>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</si>
  <si>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</si>
  <si>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</si>
  <si>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</si>
  <si>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</si>
  <si>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</si>
  <si>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</si>
  <si>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</si>
  <si>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</si>
  <si>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</si>
  <si>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</si>
  <si>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</si>
  <si>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</si>
  <si>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</si>
  <si>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</si>
  <si>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</si>
  <si>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</si>
  <si>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</si>
  <si>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</si>
  <si>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</si>
  <si>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</si>
  <si>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</si>
  <si>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</si>
  <si>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</si>
  <si>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</si>
  <si>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</si>
  <si>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</si>
  <si>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</si>
  <si>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</si>
  <si>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</si>
  <si>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</si>
  <si>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</si>
  <si>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</si>
  <si>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</si>
  <si>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</si>
  <si>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</si>
  <si>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</si>
  <si>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</si>
  <si>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</si>
  <si>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</si>
  <si>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</si>
  <si>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</si>
  <si>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</si>
  <si>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</si>
  <si>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</si>
  <si>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</si>
  <si>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</si>
  <si>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</si>
  <si>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</si>
  <si>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</si>
  <si>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</si>
  <si>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</si>
  <si>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</si>
  <si>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</si>
  <si>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</si>
  <si>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</si>
  <si>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</si>
  <si>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</si>
  <si>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</si>
  <si>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</si>
  <si>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</si>
  <si>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</si>
  <si>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</si>
  <si>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</si>
  <si>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</si>
  <si>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</si>
  <si>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</si>
  <si>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</si>
  <si>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</si>
  <si>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</si>
  <si>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</si>
  <si>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</si>
  <si>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</si>
  <si>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</si>
  <si>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</si>
  <si>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</si>
  <si>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</si>
  <si>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</si>
  <si>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</si>
  <si>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</si>
  <si>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</si>
  <si>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</si>
  <si>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</si>
  <si>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</si>
  <si>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</si>
  <si>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</si>
  <si>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</si>
  <si>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</si>
  <si>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</si>
  <si>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</si>
  <si>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</si>
  <si>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</si>
  <si>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</si>
  <si>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</si>
  <si>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</si>
  <si>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</si>
  <si>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</si>
  <si>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</si>
  <si>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</si>
  <si>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</si>
  <si>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</si>
  <si>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</si>
  <si>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</si>
  <si>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</si>
  <si>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</si>
  <si>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</si>
  <si>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</si>
  <si>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</si>
  <si>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</si>
  <si>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</si>
  <si>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</si>
  <si>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</si>
  <si>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</si>
  <si>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</si>
  <si>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</si>
  <si>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</si>
  <si>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</si>
  <si>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</si>
  <si>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</si>
  <si>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</si>
  <si>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</si>
  <si>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</si>
  <si>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</si>
  <si>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</si>
  <si>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</si>
  <si>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</si>
  <si>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</si>
  <si>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</si>
  <si>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</si>
  <si>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</si>
  <si>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</si>
  <si>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</si>
  <si>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</si>
  <si>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</si>
  <si>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</si>
  <si>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</si>
  <si>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</si>
  <si>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</si>
  <si>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</si>
  <si>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</si>
  <si>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</si>
  <si>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</si>
  <si>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</si>
  <si>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</si>
  <si>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</si>
  <si>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</si>
  <si>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</si>
  <si>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</si>
  <si>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</si>
  <si>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</si>
  <si>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</si>
  <si>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</si>
  <si>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</si>
  <si>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</si>
  <si>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</si>
  <si>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</si>
  <si>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</si>
  <si>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</si>
  <si>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</si>
  <si>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</si>
  <si>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</si>
  <si>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</si>
  <si>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</si>
  <si>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</si>
  <si>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</si>
  <si>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</si>
  <si>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</si>
  <si>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</si>
  <si>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</si>
  <si>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</si>
  <si>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</si>
  <si>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</si>
  <si>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</si>
  <si>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</si>
  <si>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</si>
  <si>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</si>
  <si>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</si>
  <si>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</si>
  <si>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</si>
  <si>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</si>
  <si>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</si>
  <si>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</si>
  <si>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</si>
  <si>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</si>
  <si>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</si>
  <si>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</si>
  <si>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</si>
  <si>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</si>
  <si>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</si>
  <si>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</si>
  <si>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</si>
  <si>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</si>
  <si>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</si>
  <si>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</si>
  <si>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</si>
  <si>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</si>
  <si>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</si>
  <si>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</si>
  <si>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</si>
  <si>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</si>
  <si>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</si>
  <si>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</si>
  <si>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</si>
  <si>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</si>
  <si>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</si>
  <si>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</si>
  <si>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</si>
  <si>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</si>
  <si>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</si>
  <si>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</si>
  <si>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</si>
  <si>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</si>
  <si>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</si>
  <si>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</si>
  <si>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</si>
  <si>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</si>
  <si>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</si>
  <si>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</si>
  <si>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</si>
  <si>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</si>
  <si>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</si>
  <si>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</si>
  <si>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</si>
  <si>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</si>
  <si>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</si>
  <si>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</si>
  <si>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</si>
  <si>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</si>
  <si>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</si>
  <si>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</si>
  <si>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</si>
  <si>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</si>
  <si>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</si>
  <si>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</si>
  <si>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</si>
  <si>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</si>
  <si>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</si>
  <si>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</si>
  <si>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</si>
  <si>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</si>
  <si>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</si>
  <si>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</si>
  <si>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</si>
  <si>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</si>
  <si>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</si>
  <si>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</si>
  <si>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</si>
  <si>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</si>
  <si>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</si>
  <si>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</si>
  <si>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</si>
  <si>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</si>
  <si>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</si>
  <si>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</si>
  <si>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</si>
  <si>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</si>
  <si>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</si>
  <si>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</si>
  <si>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</si>
  <si>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</si>
  <si>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</si>
  <si>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</si>
  <si>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</si>
  <si>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</si>
  <si>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</si>
  <si>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</si>
  <si>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</si>
  <si>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</si>
  <si>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</si>
  <si>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</si>
  <si>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</si>
  <si>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</si>
  <si>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</si>
  <si>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</si>
  <si>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</si>
  <si>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</si>
  <si>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</si>
  <si>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</si>
  <si>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</si>
  <si>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</si>
  <si>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</si>
  <si>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</si>
  <si>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</si>
  <si>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</si>
  <si>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</si>
  <si>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</si>
  <si>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</si>
  <si>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</si>
  <si>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</si>
  <si>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</si>
  <si>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</si>
  <si>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</si>
  <si>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</si>
  <si>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</si>
  <si>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</si>
  <si>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</si>
  <si>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</si>
  <si>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</si>
  <si>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</si>
  <si>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</si>
  <si>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</si>
  <si>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</si>
  <si>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</si>
  <si>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</si>
  <si>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</si>
  <si>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</si>
  <si>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</si>
  <si>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</si>
  <si>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</si>
  <si>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</si>
  <si>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</si>
  <si>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</si>
  <si>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</si>
  <si>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</si>
  <si>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</si>
  <si>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</si>
  <si>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</si>
  <si>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</si>
  <si>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</si>
  <si>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</si>
  <si>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</si>
  <si>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</si>
  <si>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</si>
  <si>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</si>
  <si>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</si>
  <si>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</si>
  <si>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</si>
  <si>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</si>
  <si>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</si>
  <si>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</si>
  <si>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</si>
  <si>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</si>
  <si>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</si>
  <si>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</si>
  <si>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</si>
  <si>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</si>
  <si>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</si>
  <si>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</si>
  <si>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</si>
  <si>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</si>
  <si>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</si>
  <si>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</si>
  <si>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</si>
  <si>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</si>
  <si>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</si>
  <si>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</si>
  <si>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</si>
  <si>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</si>
  <si>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</si>
  <si>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</si>
  <si>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</si>
  <si>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</si>
  <si>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</si>
  <si>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</si>
  <si>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</si>
  <si>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</si>
  <si>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</si>
  <si>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</si>
  <si>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</si>
  <si>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</si>
  <si>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</si>
  <si>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</si>
  <si>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</si>
  <si>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</si>
  <si>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</si>
  <si>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</si>
  <si>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</si>
  <si>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</si>
  <si>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</si>
  <si>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</si>
  <si>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</si>
  <si>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</si>
  <si>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</si>
  <si>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</si>
  <si>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</si>
  <si>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</si>
  <si>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</si>
  <si>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</si>
  <si>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</si>
  <si>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</si>
  <si>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</si>
  <si>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</si>
  <si>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</si>
  <si>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</si>
  <si>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</si>
  <si>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</si>
  <si>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</si>
  <si>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</si>
  <si>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</si>
  <si>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</si>
  <si>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</si>
  <si>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</si>
  <si>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</si>
  <si>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</si>
  <si>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</si>
  <si>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</si>
  <si>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</si>
  <si>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</si>
  <si>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</si>
  <si>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</si>
  <si>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</si>
  <si>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</si>
  <si>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</si>
  <si>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</si>
  <si>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</si>
  <si>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</si>
  <si>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</si>
  <si>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</si>
  <si>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</si>
  <si>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</si>
  <si>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</si>
  <si>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</si>
  <si>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</si>
  <si>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</si>
  <si>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</si>
  <si>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</si>
  <si>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</si>
  <si>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</si>
  <si>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</si>
  <si>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</si>
  <si>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</si>
  <si>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</si>
  <si>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</si>
  <si>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</si>
  <si>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</si>
  <si>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</si>
  <si>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</si>
  <si>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</si>
  <si>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</si>
  <si>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</si>
  <si>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</si>
  <si>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</si>
  <si>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</si>
  <si>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</si>
  <si>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</si>
  <si>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</si>
  <si>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</si>
  <si>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</si>
  <si>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</si>
  <si>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</si>
  <si>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</si>
  <si>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</si>
  <si>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</si>
  <si>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</si>
  <si>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</si>
  <si>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</si>
  <si>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</si>
  <si>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</si>
  <si>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</si>
  <si>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</si>
  <si>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</si>
  <si>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</si>
  <si>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</si>
  <si>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</si>
  <si>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</si>
  <si>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</si>
  <si>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</si>
  <si>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</si>
  <si>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</si>
  <si>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</si>
  <si>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</si>
  <si>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</si>
  <si>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</si>
  <si>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</si>
  <si>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</si>
  <si>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</si>
  <si>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</si>
  <si>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</si>
  <si>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</si>
  <si>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</si>
  <si>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</si>
  <si>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</si>
  <si>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</si>
  <si>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</si>
  <si>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</si>
  <si>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</si>
  <si>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</si>
  <si>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</si>
  <si>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</si>
  <si>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</si>
  <si>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</si>
  <si>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</si>
  <si>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</si>
  <si>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</si>
  <si>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</si>
  <si>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</si>
  <si>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</si>
  <si>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</si>
  <si>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</si>
  <si>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</si>
  <si>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</si>
  <si>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</si>
  <si>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</si>
  <si>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</si>
  <si>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</si>
  <si>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</si>
  <si>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</si>
  <si>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</si>
  <si>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</si>
  <si>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</si>
  <si>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</si>
  <si>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</si>
  <si>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</si>
  <si>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</si>
  <si>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</si>
  <si>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</si>
  <si>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</si>
  <si>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</si>
  <si>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</si>
  <si>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</si>
  <si>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</si>
  <si>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</si>
  <si>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</si>
  <si>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</si>
  <si>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</si>
  <si>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</si>
  <si>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</si>
  <si>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</si>
  <si>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</si>
  <si>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</si>
  <si>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</si>
  <si>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</si>
  <si>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</si>
  <si>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</si>
  <si>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</si>
  <si>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</si>
  <si>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</si>
  <si>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</si>
  <si>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</si>
  <si>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</si>
  <si>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</si>
  <si>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</si>
  <si>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</si>
  <si>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</si>
  <si>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</si>
  <si>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</si>
  <si>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</si>
  <si>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</si>
  <si>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</si>
  <si>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</si>
  <si>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</si>
  <si>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</si>
  <si>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</si>
  <si>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</si>
  <si>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</si>
  <si>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</si>
  <si>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</si>
  <si>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</si>
  <si>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</si>
  <si>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</si>
  <si>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</si>
  <si>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</si>
  <si>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</si>
  <si>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</si>
  <si>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</si>
  <si>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</si>
  <si>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</si>
  <si>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</si>
  <si>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</si>
  <si>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</si>
  <si>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</si>
  <si>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</si>
  <si>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</si>
  <si>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</si>
  <si>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</si>
  <si>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</si>
  <si>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</si>
  <si>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</si>
  <si>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</si>
  <si>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</si>
  <si>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</si>
  <si>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</si>
  <si>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</si>
  <si>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</si>
  <si>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</si>
  <si>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</si>
  <si>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</si>
  <si>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</si>
  <si>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</si>
  <si>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</si>
  <si>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</si>
  <si>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</si>
  <si>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</si>
  <si>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</si>
  <si>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</si>
  <si>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</si>
  <si>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</si>
  <si>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</si>
  <si>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</si>
  <si>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</si>
  <si>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</si>
  <si>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</si>
  <si>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</si>
  <si>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</si>
  <si>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</si>
  <si>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</si>
  <si>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</si>
  <si>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</si>
  <si>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</si>
  <si>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</si>
  <si>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</si>
  <si>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</si>
  <si>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</si>
  <si>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</si>
  <si>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</si>
  <si>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</si>
  <si>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</si>
  <si>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</si>
  <si>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</si>
  <si>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</si>
  <si>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</si>
  <si>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</si>
  <si>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</si>
  <si>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</si>
  <si>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</si>
  <si>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</si>
  <si>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</si>
  <si>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</si>
  <si>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</si>
  <si>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</si>
  <si>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</si>
  <si>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</si>
  <si>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</si>
  <si>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</si>
  <si>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</si>
  <si>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</si>
  <si>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</si>
  <si>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</si>
  <si>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</si>
  <si>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</si>
  <si>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</si>
  <si>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</si>
  <si>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</si>
  <si>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</si>
  <si>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</si>
  <si>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</si>
  <si>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</si>
  <si>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</si>
  <si>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</si>
  <si>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</si>
  <si>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</si>
  <si>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</si>
  <si>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</si>
  <si>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</si>
  <si>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</si>
  <si>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</si>
  <si>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</si>
  <si>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</si>
  <si>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</si>
  <si>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</si>
  <si>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</si>
  <si>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</si>
  <si>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</si>
  <si>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</si>
  <si>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</si>
  <si>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</si>
  <si>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</si>
  <si>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</si>
  <si>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</si>
  <si>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</si>
  <si>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</si>
  <si>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</si>
  <si>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</si>
  <si>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</si>
  <si>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</si>
  <si>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</si>
  <si>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</si>
  <si>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</si>
  <si>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</si>
  <si>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</si>
  <si>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</si>
  <si>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</si>
  <si>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</si>
  <si>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</si>
  <si>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</si>
  <si>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</si>
  <si>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</si>
  <si>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</si>
  <si>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</si>
  <si>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</si>
  <si>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</si>
  <si>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</si>
  <si>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</si>
  <si>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</si>
  <si>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</si>
  <si>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</si>
  <si>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</si>
  <si>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</si>
  <si>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</si>
  <si>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</si>
  <si>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</si>
  <si>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</si>
  <si>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</si>
  <si>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</si>
  <si>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</si>
  <si>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</si>
  <si>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</si>
  <si>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</si>
  <si>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</si>
  <si>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</si>
  <si>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</si>
  <si>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</si>
  <si>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</si>
  <si>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</si>
  <si>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</si>
  <si>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</si>
  <si>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</si>
  <si>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</si>
  <si>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</si>
  <si>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</si>
  <si>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</si>
  <si>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</si>
  <si>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</si>
  <si>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</si>
  <si>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</si>
  <si>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</si>
  <si>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</si>
  <si>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</si>
  <si>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</si>
  <si>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</si>
  <si>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</si>
  <si>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</si>
  <si>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</si>
  <si>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</si>
  <si>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</si>
  <si>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</si>
  <si>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</si>
  <si>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</si>
  <si>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</si>
  <si>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</si>
  <si>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</si>
  <si>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</si>
  <si>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</si>
  <si>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</si>
  <si>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</si>
  <si>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</si>
  <si>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</si>
  <si>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</si>
  <si>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</si>
  <si>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</si>
  <si>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</si>
  <si>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</si>
  <si>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</si>
  <si>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</si>
  <si>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</si>
  <si>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</si>
  <si>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</si>
  <si>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</si>
  <si>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</si>
  <si>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</si>
  <si>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</si>
  <si>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</si>
  <si>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</si>
  <si>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</si>
  <si>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</si>
  <si>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</si>
  <si>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</si>
  <si>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</si>
  <si>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</si>
  <si>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</si>
  <si>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</si>
  <si>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</si>
  <si>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</si>
  <si>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</si>
  <si>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</si>
  <si>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</si>
  <si>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</si>
  <si>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</si>
  <si>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</si>
  <si>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</si>
  <si>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</si>
  <si>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</si>
  <si>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</si>
  <si>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</si>
  <si>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</si>
  <si>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</si>
  <si>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</si>
  <si>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</si>
  <si>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</si>
  <si>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</si>
  <si>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</si>
  <si>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</si>
  <si>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</si>
  <si>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</si>
  <si>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</si>
  <si>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</si>
  <si>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</si>
  <si>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</si>
  <si>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</si>
  <si>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</si>
  <si>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</si>
  <si>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</si>
  <si>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</si>
  <si>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</si>
  <si>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</si>
  <si>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</si>
  <si>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</si>
  <si>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</si>
  <si>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</si>
  <si>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</si>
  <si>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</si>
  <si>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</si>
  <si>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</si>
  <si>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</si>
  <si>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</si>
  <si>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</si>
  <si>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</si>
  <si>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</si>
  <si>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</si>
  <si>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</si>
  <si>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Lisbon Regional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</si>
</sst>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6"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306</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269718.26</v>
      </c>
      <c r="G9" s="18" t="s">
        <v>286</v>
      </c>
      <c r="H9" s="18" t="s">
        <v>286</v>
      </c>
      <c r="I9" s="18"/>
      <c r="J9" s="67">
        <f>SUM(I440)</f>
        <v>510811.33</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227339.16</v>
      </c>
      <c r="G12" s="18">
        <v>5794.66</v>
      </c>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v>25913.25</v>
      </c>
      <c r="H13" s="18">
        <v>192400.26</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38562.01</v>
      </c>
      <c r="G14" s="18"/>
      <c r="H14" s="18" t="s">
        <v>286</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t="s">
        <v>286</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535619.43000000005</v>
      </c>
      <c r="G19" s="41">
        <f>SUM(G9:G18)</f>
        <v>31707.91</v>
      </c>
      <c r="H19" s="41">
        <f>SUM(H9:H18)</f>
        <v>192400.26</v>
      </c>
      <c r="I19" s="41">
        <f>SUM(I9:I18)</f>
        <v>0</v>
      </c>
      <c r="J19" s="41">
        <f>SUM(J9:J18)</f>
        <v>510811.33</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t="s">
        <v>286</v>
      </c>
      <c r="G22" s="18">
        <v>13969.12</v>
      </c>
      <c r="H22" s="18">
        <v>184014.68</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239079.07</v>
      </c>
      <c r="G24" s="18"/>
      <c r="H24" s="18">
        <v>8385.58</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t="s">
        <v>286</v>
      </c>
      <c r="G25" s="145"/>
      <c r="H25" s="18" t="s">
        <v>286</v>
      </c>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2897.33</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239079.07</v>
      </c>
      <c r="G32" s="41">
        <f>SUM(G22:G31)</f>
        <v>16866.45</v>
      </c>
      <c r="H32" s="41">
        <f>SUM(H22:H31)</f>
        <v>192400.25999999998</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t="s">
        <v>286</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14841.46</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t="s">
        <v>286</v>
      </c>
      <c r="G43" s="18"/>
      <c r="H43" s="18"/>
      <c r="I43" s="18"/>
      <c r="J43" s="13">
        <f>SUM(I457)</f>
        <v>510811.33</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296540.36</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296540.36</v>
      </c>
      <c r="G51" s="41">
        <f>SUM(G35:G50)</f>
        <v>14841.46</v>
      </c>
      <c r="H51" s="41">
        <f>SUM(H35:H50)</f>
        <v>0</v>
      </c>
      <c r="I51" s="41">
        <f>SUM(I35:I50)</f>
        <v>0</v>
      </c>
      <c r="J51" s="41">
        <f>SUM(J35:J50)</f>
        <v>510811.33</v>
      </c>
      <c r="K51" s="45" t="s">
        <v>288</v>
      </c>
      <c r="L51" s="45" t="s">
        <v>288</v>
      </c>
      <c r="N51" s="262"/>
    </row>
    <row r="52" spans="1:14" s="3" customFormat="1" ht="12.2" customHeight="1" thickTop="1" x14ac:dyDescent="0.15">
      <c r="A52" s="38" t="s">
        <v>455</v>
      </c>
      <c r="B52" s="39" t="s">
        <v>289</v>
      </c>
      <c r="C52" s="6">
        <v>37</v>
      </c>
      <c r="D52" s="39" t="s">
        <v>653</v>
      </c>
      <c r="E52" s="39"/>
      <c r="F52" s="41">
        <f>F51+F32</f>
        <v>535619.42999999993</v>
      </c>
      <c r="G52" s="41">
        <f>G51+G32</f>
        <v>31707.91</v>
      </c>
      <c r="H52" s="41">
        <f>H51+H32</f>
        <v>192400.25999999998</v>
      </c>
      <c r="I52" s="41">
        <f>I51+I32</f>
        <v>0</v>
      </c>
      <c r="J52" s="41">
        <f>J51+J32</f>
        <v>510811.33</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3322401</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3322401</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604162.84</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t="s">
        <v>286</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v>26000</v>
      </c>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630162.84</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t="s">
        <v>286</v>
      </c>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v>3990</v>
      </c>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3990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1933.43</v>
      </c>
      <c r="G96" s="18">
        <v>0.64</v>
      </c>
      <c r="H96" s="18"/>
      <c r="I96" s="18"/>
      <c r="J96" s="18">
        <f>49.42+268.97</f>
        <v>318.39000000000004</v>
      </c>
      <c r="K96" s="24" t="s">
        <v>288</v>
      </c>
      <c r="L96" s="24" t="s">
        <v>288</v>
      </c>
      <c r="M96" s="8"/>
      <c r="N96" s="264"/>
    </row>
    <row r="97" spans="1:14" s="3" customFormat="1" ht="12.2" customHeight="1" x14ac:dyDescent="0.15">
      <c r="A97" s="1" t="s">
        <v>503</v>
      </c>
      <c r="B97" s="2" t="s">
        <v>315</v>
      </c>
      <c r="C97" s="6">
        <v>12</v>
      </c>
      <c r="D97" s="2" t="s">
        <v>430</v>
      </c>
      <c r="E97" s="6">
        <v>1600</v>
      </c>
      <c r="F97" s="24" t="s">
        <v>288</v>
      </c>
      <c r="G97" s="18">
        <v>9990.49</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f>6531.75+1800</f>
        <v>8331.75</v>
      </c>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t="s">
        <v>286</v>
      </c>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80.400000000000006</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27358.98+12535.84+3780</f>
        <v>43674.82</v>
      </c>
      <c r="G110" s="18" t="s">
        <v>286</v>
      </c>
      <c r="H110" s="18">
        <v>53.55</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54020.4</v>
      </c>
      <c r="G111" s="41">
        <f>SUM(G96:G110)</f>
        <v>9991.1299999999992</v>
      </c>
      <c r="H111" s="41">
        <f>SUM(H96:H110)</f>
        <v>53.55</v>
      </c>
      <c r="I111" s="41">
        <f>SUM(I96:I110)</f>
        <v>0</v>
      </c>
      <c r="J111" s="41">
        <f>SUM(J96:J110)</f>
        <v>318.39000000000004</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4010574.2399999998</v>
      </c>
      <c r="G112" s="41">
        <f>G60+G111</f>
        <v>9991.1299999999992</v>
      </c>
      <c r="H112" s="41">
        <f>H60+H79+H94+H111</f>
        <v>53.55</v>
      </c>
      <c r="I112" s="41">
        <f>I60+I111</f>
        <v>0</v>
      </c>
      <c r="J112" s="41">
        <f>J60+J111</f>
        <v>318.39000000000004</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2572003.77</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363086</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1564.05</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2936653.82</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t="s">
        <v>286</v>
      </c>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f>17524.92</f>
        <v>17524.919999999998</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8984.93</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2853.13</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12900</v>
      </c>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39409.85</v>
      </c>
      <c r="G136" s="41">
        <f>SUM(G123:G135)</f>
        <v>2853.13</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2976063.67</v>
      </c>
      <c r="G140" s="41">
        <f>G121+SUM(G136:G137)</f>
        <v>2853.13</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195917.07</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104182.63</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103297.73</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138368.14+774.69</f>
        <v>139142.83000000002</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13305.63</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60600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v>0</v>
      </c>
      <c r="G162" s="18">
        <v>0</v>
      </c>
      <c r="H162" s="18">
        <v>140454.54999999999</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13305.63</v>
      </c>
      <c r="G163" s="41">
        <f>SUM(G150:G162)</f>
        <v>103297.73</v>
      </c>
      <c r="H163" s="41">
        <f>SUM(H150:H162)</f>
        <v>640297.08000000007</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637.19000000000005</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13942.82</v>
      </c>
      <c r="G170" s="41">
        <f>G147+G163+SUM(G164:G169)</f>
        <v>103297.73</v>
      </c>
      <c r="H170" s="41">
        <f>H147+H163+SUM(H164:H169)</f>
        <v>640297.08000000007</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53.55</v>
      </c>
      <c r="H180" s="18"/>
      <c r="I180" s="18"/>
      <c r="J180" s="18">
        <v>387909</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t="s">
        <v>286</v>
      </c>
      <c r="G182" s="18"/>
      <c r="H182" s="24" t="s">
        <v>288</v>
      </c>
      <c r="I182" s="18"/>
      <c r="J182" s="18" t="s">
        <v>286</v>
      </c>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53.55</v>
      </c>
      <c r="H184" s="41">
        <f>SUM(H180:H183)</f>
        <v>0</v>
      </c>
      <c r="I184" s="41">
        <f>SUM(I180:I183)</f>
        <v>0</v>
      </c>
      <c r="J184" s="41">
        <f>SUM(J180:J183)</f>
        <v>387909</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75000</v>
      </c>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v>55.68</v>
      </c>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75055.679999999993</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75055.679999999993</v>
      </c>
      <c r="G193" s="41">
        <f>G184+SUM(G189:G192)</f>
        <v>53.55</v>
      </c>
      <c r="H193" s="41">
        <f>+H184+SUM(H189:H192)</f>
        <v>0</v>
      </c>
      <c r="I193" s="41">
        <f>I178+I184+SUM(I189:I192)</f>
        <v>0</v>
      </c>
      <c r="J193" s="41">
        <f>J184</f>
        <v>387909</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7075636.4100000001</v>
      </c>
      <c r="G194" s="47">
        <f>G112+G140+G170+G193</f>
        <v>116195.54</v>
      </c>
      <c r="H194" s="47">
        <f>H112+H140+H170+H193</f>
        <v>640350.63000000012</v>
      </c>
      <c r="I194" s="47">
        <f>I112+I140+I170+I193</f>
        <v>0</v>
      </c>
      <c r="J194" s="47">
        <f>J112+J140+J193</f>
        <v>388227.39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781232.9+12435.67</f>
        <v>793668.57000000007</v>
      </c>
      <c r="G198" s="18">
        <f>367082.4+950.95+1211.43</f>
        <v>369244.78</v>
      </c>
      <c r="H198" s="18">
        <v>6184.46</v>
      </c>
      <c r="I198" s="18">
        <f>206628.78+1270.01</f>
        <v>207898.79</v>
      </c>
      <c r="J198" s="18">
        <v>10113.65</v>
      </c>
      <c r="K198" s="18"/>
      <c r="L198" s="19">
        <f>SUM(F198:K198)</f>
        <v>1387110.25</v>
      </c>
      <c r="M198" s="8"/>
      <c r="N198" s="264"/>
    </row>
    <row r="199" spans="1:14" s="3" customFormat="1" ht="12.2" customHeight="1" x14ac:dyDescent="0.15">
      <c r="A199" s="1" t="s">
        <v>439</v>
      </c>
      <c r="B199" s="2" t="s">
        <v>341</v>
      </c>
      <c r="C199" s="2" t="s">
        <v>291</v>
      </c>
      <c r="D199" s="2" t="s">
        <v>431</v>
      </c>
      <c r="E199" s="6">
        <v>1200</v>
      </c>
      <c r="F199" s="18">
        <v>251422.15</v>
      </c>
      <c r="G199" s="18">
        <v>150566.47</v>
      </c>
      <c r="H199" s="18">
        <v>52183.64</v>
      </c>
      <c r="I199" s="18">
        <f>175.26+39.16</f>
        <v>214.42</v>
      </c>
      <c r="J199" s="18">
        <v>54.38</v>
      </c>
      <c r="K199" s="18"/>
      <c r="L199" s="19">
        <f>SUM(F199:K199)</f>
        <v>454441.06</v>
      </c>
      <c r="M199" s="8"/>
      <c r="N199" s="264"/>
    </row>
    <row r="200" spans="1:14" s="3" customFormat="1" ht="12.2" customHeight="1" x14ac:dyDescent="0.15">
      <c r="A200" s="1" t="s">
        <v>440</v>
      </c>
      <c r="B200" s="2" t="s">
        <v>341</v>
      </c>
      <c r="C200" s="2" t="s">
        <v>292</v>
      </c>
      <c r="D200" s="2" t="s">
        <v>431</v>
      </c>
      <c r="E200" s="6">
        <v>1300</v>
      </c>
      <c r="F200" s="18"/>
      <c r="G200" s="18"/>
      <c r="H200" s="18">
        <v>2850</v>
      </c>
      <c r="I200" s="18">
        <v>2480.9299999999998</v>
      </c>
      <c r="J200" s="18"/>
      <c r="K200" s="18"/>
      <c r="L200" s="19">
        <f>SUM(F200:K200)</f>
        <v>5330.93</v>
      </c>
      <c r="M200" s="8"/>
      <c r="N200" s="264"/>
    </row>
    <row r="201" spans="1:14" s="3" customFormat="1" ht="12.2" customHeight="1" x14ac:dyDescent="0.15">
      <c r="A201" s="1" t="s">
        <v>441</v>
      </c>
      <c r="B201" s="2" t="s">
        <v>341</v>
      </c>
      <c r="C201" s="2" t="s">
        <v>293</v>
      </c>
      <c r="D201" s="2" t="s">
        <v>431</v>
      </c>
      <c r="E201" s="6">
        <v>1400</v>
      </c>
      <c r="F201" s="18">
        <v>3460.05</v>
      </c>
      <c r="G201" s="18">
        <f>264.71+615.9</f>
        <v>880.6099999999999</v>
      </c>
      <c r="H201" s="18">
        <v>3127</v>
      </c>
      <c r="I201" s="18"/>
      <c r="J201" s="18"/>
      <c r="K201" s="18">
        <v>695.5</v>
      </c>
      <c r="L201" s="19">
        <f>SUM(F201:K201)</f>
        <v>8163.16</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55463</v>
      </c>
      <c r="G203" s="18">
        <v>35744.019999999997</v>
      </c>
      <c r="H203" s="18">
        <v>97446.41</v>
      </c>
      <c r="I203" s="18">
        <v>7020.48</v>
      </c>
      <c r="J203" s="18"/>
      <c r="K203" s="18"/>
      <c r="L203" s="19">
        <f t="shared" ref="L203:L209" si="0">SUM(F203:K203)</f>
        <v>195673.91</v>
      </c>
      <c r="M203" s="8"/>
      <c r="N203" s="264"/>
    </row>
    <row r="204" spans="1:14" s="3" customFormat="1" ht="12.2" customHeight="1" x14ac:dyDescent="0.15">
      <c r="A204" s="1" t="s">
        <v>443</v>
      </c>
      <c r="B204" s="2" t="s">
        <v>341</v>
      </c>
      <c r="C204" s="2" t="s">
        <v>295</v>
      </c>
      <c r="D204" s="2" t="s">
        <v>431</v>
      </c>
      <c r="E204" s="6">
        <v>2200</v>
      </c>
      <c r="F204" s="18">
        <v>31015.7</v>
      </c>
      <c r="G204" s="18">
        <v>18535.32</v>
      </c>
      <c r="H204" s="18">
        <v>3714.5</v>
      </c>
      <c r="I204" s="18">
        <v>4758.8500000000004</v>
      </c>
      <c r="J204" s="18"/>
      <c r="K204" s="18">
        <v>42424.49</v>
      </c>
      <c r="L204" s="19">
        <f t="shared" si="0"/>
        <v>100448.86</v>
      </c>
      <c r="M204" s="8"/>
      <c r="N204" s="264"/>
    </row>
    <row r="205" spans="1:14" s="3" customFormat="1" ht="12.2" customHeight="1" x14ac:dyDescent="0.15">
      <c r="A205" s="1" t="s">
        <v>444</v>
      </c>
      <c r="B205" s="2" t="s">
        <v>341</v>
      </c>
      <c r="C205" s="2" t="s">
        <v>296</v>
      </c>
      <c r="D205" s="2" t="s">
        <v>431</v>
      </c>
      <c r="E205" s="6">
        <v>2300</v>
      </c>
      <c r="F205" s="18">
        <f>700+300+4950</f>
        <v>5950</v>
      </c>
      <c r="G205" s="18">
        <f>53.59+22.99+378.68+11.61</f>
        <v>466.87</v>
      </c>
      <c r="H205" s="18">
        <f>136126.85+711.75</f>
        <v>136838.6</v>
      </c>
      <c r="I205" s="18"/>
      <c r="J205" s="18"/>
      <c r="K205" s="18">
        <v>12739.43</v>
      </c>
      <c r="L205" s="19">
        <f t="shared" si="0"/>
        <v>155994.9</v>
      </c>
      <c r="M205" s="8"/>
      <c r="N205" s="264"/>
    </row>
    <row r="206" spans="1:14" s="3" customFormat="1" ht="12.2" customHeight="1" x14ac:dyDescent="0.15">
      <c r="A206" s="1" t="s">
        <v>445</v>
      </c>
      <c r="B206" s="2" t="s">
        <v>341</v>
      </c>
      <c r="C206" s="2" t="s">
        <v>297</v>
      </c>
      <c r="D206" s="2" t="s">
        <v>431</v>
      </c>
      <c r="E206" s="6">
        <v>2400</v>
      </c>
      <c r="F206" s="18">
        <v>54682.15</v>
      </c>
      <c r="G206" s="18">
        <v>23525.360000000001</v>
      </c>
      <c r="H206" s="18">
        <v>16475.91</v>
      </c>
      <c r="I206" s="18">
        <v>6090.19</v>
      </c>
      <c r="J206" s="18">
        <v>9111.36</v>
      </c>
      <c r="K206" s="18">
        <v>1224.8499999999999</v>
      </c>
      <c r="L206" s="19">
        <f t="shared" si="0"/>
        <v>111109.82000000002</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51778.75</v>
      </c>
      <c r="G208" s="18">
        <v>16962.5</v>
      </c>
      <c r="H208" s="18">
        <v>119882.56</v>
      </c>
      <c r="I208" s="18">
        <v>50732.17</v>
      </c>
      <c r="J208" s="18">
        <v>19805.98</v>
      </c>
      <c r="K208" s="18"/>
      <c r="L208" s="19">
        <f t="shared" si="0"/>
        <v>259161.96</v>
      </c>
      <c r="M208" s="8"/>
      <c r="N208" s="264"/>
    </row>
    <row r="209" spans="1:14" s="3" customFormat="1" ht="12.2" customHeight="1" x14ac:dyDescent="0.15">
      <c r="A209" s="1" t="s">
        <v>448</v>
      </c>
      <c r="B209" s="2" t="s">
        <v>341</v>
      </c>
      <c r="C209" s="2" t="s">
        <v>300</v>
      </c>
      <c r="D209" s="2" t="s">
        <v>431</v>
      </c>
      <c r="E209" s="6">
        <v>2700</v>
      </c>
      <c r="F209" s="18">
        <v>2475</v>
      </c>
      <c r="G209" s="18">
        <f>189.35+83.78+281.24</f>
        <v>554.37</v>
      </c>
      <c r="H209" s="18">
        <v>66393.210000000006</v>
      </c>
      <c r="I209" s="18">
        <v>1672.67</v>
      </c>
      <c r="J209" s="18">
        <v>20150</v>
      </c>
      <c r="K209" s="18"/>
      <c r="L209" s="19">
        <f t="shared" si="0"/>
        <v>91245.25</v>
      </c>
      <c r="M209" s="8"/>
      <c r="N209" s="264"/>
    </row>
    <row r="210" spans="1:14" s="3" customFormat="1" ht="12.2" customHeight="1" x14ac:dyDescent="0.15">
      <c r="A210" s="1" t="s">
        <v>449</v>
      </c>
      <c r="B210" s="2" t="s">
        <v>341</v>
      </c>
      <c r="C210" s="2" t="s">
        <v>343</v>
      </c>
      <c r="D210" s="2" t="s">
        <v>431</v>
      </c>
      <c r="E210" s="6">
        <v>2800</v>
      </c>
      <c r="F210" s="18">
        <v>24583.82</v>
      </c>
      <c r="G210" s="18">
        <v>4652.8100000000004</v>
      </c>
      <c r="H210" s="18">
        <v>3099.53</v>
      </c>
      <c r="I210" s="18">
        <v>2703.1</v>
      </c>
      <c r="J210" s="18">
        <v>23558.97</v>
      </c>
      <c r="K210" s="18"/>
      <c r="L210" s="19">
        <f>SUM(F210:K210)</f>
        <v>58598.23</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1274499.19</v>
      </c>
      <c r="G212" s="41">
        <f t="shared" si="1"/>
        <v>621133.11</v>
      </c>
      <c r="H212" s="41">
        <f t="shared" si="1"/>
        <v>508195.82</v>
      </c>
      <c r="I212" s="41">
        <f t="shared" si="1"/>
        <v>283571.59999999998</v>
      </c>
      <c r="J212" s="41">
        <f t="shared" si="1"/>
        <v>82794.34</v>
      </c>
      <c r="K212" s="41">
        <f t="shared" si="1"/>
        <v>57084.27</v>
      </c>
      <c r="L212" s="41">
        <f t="shared" si="1"/>
        <v>2827278.3299999996</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f>396879.55+4974.27</f>
        <v>401853.82</v>
      </c>
      <c r="G216" s="18">
        <f>177885.32+380.38+484.57</f>
        <v>178750.27000000002</v>
      </c>
      <c r="H216" s="18">
        <v>471.34</v>
      </c>
      <c r="I216" s="18">
        <f>16798.25+508</f>
        <v>17306.25</v>
      </c>
      <c r="J216" s="18">
        <v>367.16</v>
      </c>
      <c r="K216" s="18"/>
      <c r="L216" s="19">
        <f>SUM(F216:K216)</f>
        <v>598748.84000000008</v>
      </c>
      <c r="M216" s="8"/>
      <c r="N216" s="264"/>
    </row>
    <row r="217" spans="1:14" s="3" customFormat="1" ht="12.2" customHeight="1" x14ac:dyDescent="0.15">
      <c r="A217" s="1" t="s">
        <v>439</v>
      </c>
      <c r="B217" s="2" t="s">
        <v>346</v>
      </c>
      <c r="C217" s="2" t="s">
        <v>291</v>
      </c>
      <c r="D217" s="2" t="s">
        <v>431</v>
      </c>
      <c r="E217" s="6">
        <v>1200</v>
      </c>
      <c r="F217" s="18">
        <v>118514.47</v>
      </c>
      <c r="G217" s="18">
        <v>55834.05</v>
      </c>
      <c r="H217" s="18">
        <v>78109.8</v>
      </c>
      <c r="I217" s="18">
        <f>70.1+15.66</f>
        <v>85.759999999999991</v>
      </c>
      <c r="J217" s="18"/>
      <c r="K217" s="18"/>
      <c r="L217" s="19">
        <f>SUM(F217:K217)</f>
        <v>252544.08000000002</v>
      </c>
      <c r="M217" s="8"/>
      <c r="N217" s="264"/>
    </row>
    <row r="218" spans="1:14" s="3" customFormat="1" ht="12.2" customHeight="1" x14ac:dyDescent="0.15">
      <c r="A218" s="1" t="s">
        <v>440</v>
      </c>
      <c r="B218" s="2" t="s">
        <v>346</v>
      </c>
      <c r="C218" s="2" t="s">
        <v>292</v>
      </c>
      <c r="D218" s="2" t="s">
        <v>431</v>
      </c>
      <c r="E218" s="6">
        <v>1300</v>
      </c>
      <c r="F218" s="18">
        <v>26790.15</v>
      </c>
      <c r="G218" s="18">
        <v>8848.4699999999993</v>
      </c>
      <c r="H218" s="18">
        <v>950</v>
      </c>
      <c r="I218" s="18">
        <v>660.08</v>
      </c>
      <c r="J218" s="18">
        <v>754.73</v>
      </c>
      <c r="K218" s="18"/>
      <c r="L218" s="19">
        <f>SUM(F218:K218)</f>
        <v>38003.430000000008</v>
      </c>
      <c r="M218" s="8"/>
      <c r="N218" s="264"/>
    </row>
    <row r="219" spans="1:14" s="3" customFormat="1" ht="12.2" customHeight="1" x14ac:dyDescent="0.15">
      <c r="A219" s="1" t="s">
        <v>441</v>
      </c>
      <c r="B219" s="2" t="s">
        <v>346</v>
      </c>
      <c r="C219" s="2" t="s">
        <v>293</v>
      </c>
      <c r="D219" s="2" t="s">
        <v>431</v>
      </c>
      <c r="E219" s="6">
        <v>1400</v>
      </c>
      <c r="F219" s="18">
        <f>16560+1384.02</f>
        <v>17944.02</v>
      </c>
      <c r="G219" s="18">
        <f>2832.53+105.88+246.36</f>
        <v>3184.7700000000004</v>
      </c>
      <c r="H219" s="18">
        <v>3127</v>
      </c>
      <c r="I219" s="18"/>
      <c r="J219" s="18">
        <v>4475.45</v>
      </c>
      <c r="K219" s="18">
        <v>1685.15</v>
      </c>
      <c r="L219" s="19">
        <f>SUM(F219:K219)</f>
        <v>30416.390000000003</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25166.51</v>
      </c>
      <c r="G221" s="18">
        <v>2156.61</v>
      </c>
      <c r="H221" s="18">
        <v>47283.54</v>
      </c>
      <c r="I221" s="18">
        <v>2161.6</v>
      </c>
      <c r="J221" s="18"/>
      <c r="K221" s="18"/>
      <c r="L221" s="19">
        <f t="shared" ref="L221:L227" si="2">SUM(F221:K221)</f>
        <v>76768.260000000009</v>
      </c>
      <c r="M221" s="8"/>
      <c r="N221" s="264"/>
    </row>
    <row r="222" spans="1:14" s="3" customFormat="1" ht="12.2" customHeight="1" x14ac:dyDescent="0.15">
      <c r="A222" s="1" t="s">
        <v>443</v>
      </c>
      <c r="B222" s="2" t="s">
        <v>346</v>
      </c>
      <c r="C222" s="2" t="s">
        <v>295</v>
      </c>
      <c r="D222" s="2" t="s">
        <v>431</v>
      </c>
      <c r="E222" s="6">
        <v>2200</v>
      </c>
      <c r="F222" s="18">
        <v>18609.5</v>
      </c>
      <c r="G222" s="18">
        <v>11053.57</v>
      </c>
      <c r="H222" s="18">
        <v>264.8</v>
      </c>
      <c r="I222" s="18">
        <v>2365.39</v>
      </c>
      <c r="J222" s="18"/>
      <c r="K222" s="18">
        <v>313.2</v>
      </c>
      <c r="L222" s="19">
        <f t="shared" si="2"/>
        <v>32606.46</v>
      </c>
      <c r="M222" s="8"/>
      <c r="N222" s="264"/>
    </row>
    <row r="223" spans="1:14" s="3" customFormat="1" ht="12.2" customHeight="1" x14ac:dyDescent="0.15">
      <c r="A223" s="1" t="s">
        <v>444</v>
      </c>
      <c r="B223" s="2" t="s">
        <v>346</v>
      </c>
      <c r="C223" s="2" t="s">
        <v>296</v>
      </c>
      <c r="D223" s="2" t="s">
        <v>431</v>
      </c>
      <c r="E223" s="6">
        <v>2300</v>
      </c>
      <c r="F223" s="18">
        <f>280+120+1980</f>
        <v>2380</v>
      </c>
      <c r="G223" s="18">
        <f>21.44+9.2+151.47+4.64</f>
        <v>186.75</v>
      </c>
      <c r="H223" s="18">
        <f>45281.25+284.7</f>
        <v>45565.95</v>
      </c>
      <c r="I223" s="18"/>
      <c r="J223" s="18"/>
      <c r="K223" s="18">
        <v>4535.37</v>
      </c>
      <c r="L223" s="19">
        <f t="shared" si="2"/>
        <v>52668.07</v>
      </c>
      <c r="M223" s="8"/>
      <c r="N223" s="264"/>
    </row>
    <row r="224" spans="1:14" s="3" customFormat="1" ht="12.2" customHeight="1" x14ac:dyDescent="0.15">
      <c r="A224" s="1" t="s">
        <v>445</v>
      </c>
      <c r="B224" s="2" t="s">
        <v>346</v>
      </c>
      <c r="C224" s="2" t="s">
        <v>297</v>
      </c>
      <c r="D224" s="2" t="s">
        <v>431</v>
      </c>
      <c r="E224" s="6">
        <v>2400</v>
      </c>
      <c r="F224" s="18">
        <v>41938.239999999998</v>
      </c>
      <c r="G224" s="18">
        <v>15846.49</v>
      </c>
      <c r="H224" s="18">
        <v>6328.45</v>
      </c>
      <c r="I224" s="18">
        <v>2795.33</v>
      </c>
      <c r="J224" s="18">
        <v>3644.55</v>
      </c>
      <c r="K224" s="18">
        <v>901.85</v>
      </c>
      <c r="L224" s="19">
        <f t="shared" si="2"/>
        <v>71454.91</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v>34198.74</v>
      </c>
      <c r="G226" s="18">
        <v>10932.1</v>
      </c>
      <c r="H226" s="18">
        <v>47490.82</v>
      </c>
      <c r="I226" s="18">
        <v>17933.75</v>
      </c>
      <c r="J226" s="18">
        <v>7700.39</v>
      </c>
      <c r="K226" s="18"/>
      <c r="L226" s="19">
        <f t="shared" si="2"/>
        <v>118255.8</v>
      </c>
      <c r="M226" s="8"/>
      <c r="N226" s="264"/>
    </row>
    <row r="227" spans="1:14" s="3" customFormat="1" ht="12.2" customHeight="1" x14ac:dyDescent="0.15">
      <c r="A227" s="1" t="s">
        <v>448</v>
      </c>
      <c r="B227" s="2" t="s">
        <v>346</v>
      </c>
      <c r="C227" s="2" t="s">
        <v>300</v>
      </c>
      <c r="D227" s="2" t="s">
        <v>431</v>
      </c>
      <c r="E227" s="6">
        <v>2700</v>
      </c>
      <c r="F227" s="18">
        <v>990</v>
      </c>
      <c r="G227" s="18">
        <f>75.74+33.51+112.5</f>
        <v>221.75</v>
      </c>
      <c r="H227" s="18">
        <v>33695.82</v>
      </c>
      <c r="I227" s="18">
        <v>669.06</v>
      </c>
      <c r="J227" s="18">
        <v>8060</v>
      </c>
      <c r="K227" s="18"/>
      <c r="L227" s="19">
        <f t="shared" si="2"/>
        <v>43636.63</v>
      </c>
      <c r="M227" s="8"/>
      <c r="N227" s="264"/>
    </row>
    <row r="228" spans="1:14" s="3" customFormat="1" ht="12.2" customHeight="1" x14ac:dyDescent="0.15">
      <c r="A228" s="1" t="s">
        <v>449</v>
      </c>
      <c r="B228" s="2" t="s">
        <v>346</v>
      </c>
      <c r="C228" s="2" t="s">
        <v>343</v>
      </c>
      <c r="D228" s="2" t="s">
        <v>431</v>
      </c>
      <c r="E228" s="6">
        <v>2800</v>
      </c>
      <c r="F228" s="18">
        <v>15452.6</v>
      </c>
      <c r="G228" s="18">
        <v>2924.76</v>
      </c>
      <c r="H228" s="18">
        <v>1057.05</v>
      </c>
      <c r="I228" s="18">
        <v>1704.65</v>
      </c>
      <c r="J228" s="18">
        <v>26985.99</v>
      </c>
      <c r="K228" s="18"/>
      <c r="L228" s="19">
        <f>SUM(F228:K228)</f>
        <v>48125.05</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703838.05</v>
      </c>
      <c r="G230" s="41">
        <f>SUM(G216:G229)</f>
        <v>289939.58999999997</v>
      </c>
      <c r="H230" s="41">
        <f>SUM(H216:H229)</f>
        <v>264344.57</v>
      </c>
      <c r="I230" s="41">
        <f>SUM(I216:I229)</f>
        <v>45681.869999999995</v>
      </c>
      <c r="J230" s="41">
        <f>SUM(J216:J229)</f>
        <v>51988.270000000004</v>
      </c>
      <c r="K230" s="41">
        <f t="shared" si="3"/>
        <v>7435.5700000000006</v>
      </c>
      <c r="L230" s="41">
        <f t="shared" si="3"/>
        <v>1363227.9200000002</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625041.74+7461.4</f>
        <v>632503.14</v>
      </c>
      <c r="G234" s="18">
        <f>251813.1+570.57+726.86</f>
        <v>253110.53</v>
      </c>
      <c r="H234" s="18">
        <v>3665.48</v>
      </c>
      <c r="I234" s="18">
        <f>17799.15+762</f>
        <v>18561.150000000001</v>
      </c>
      <c r="J234" s="18">
        <v>6518.29</v>
      </c>
      <c r="K234" s="18"/>
      <c r="L234" s="19">
        <f>SUM(F234:K234)</f>
        <v>914358.59000000008</v>
      </c>
      <c r="M234" s="8"/>
      <c r="N234" s="264"/>
    </row>
    <row r="235" spans="1:14" s="3" customFormat="1" ht="12.2" customHeight="1" x14ac:dyDescent="0.15">
      <c r="A235" s="1" t="s">
        <v>439</v>
      </c>
      <c r="B235" s="2" t="s">
        <v>350</v>
      </c>
      <c r="C235" s="2" t="s">
        <v>291</v>
      </c>
      <c r="D235" s="2" t="s">
        <v>431</v>
      </c>
      <c r="E235" s="6">
        <v>1200</v>
      </c>
      <c r="F235" s="18">
        <v>113967.27</v>
      </c>
      <c r="G235" s="18">
        <v>57336.73</v>
      </c>
      <c r="H235" s="18">
        <v>67747.37</v>
      </c>
      <c r="I235" s="18">
        <f>105.15+23.5</f>
        <v>128.65</v>
      </c>
      <c r="J235" s="18"/>
      <c r="K235" s="18"/>
      <c r="L235" s="19">
        <f>SUM(F235:K235)</f>
        <v>239180.02</v>
      </c>
      <c r="M235" s="8"/>
      <c r="N235" s="264"/>
    </row>
    <row r="236" spans="1:14" s="3" customFormat="1" ht="12.2" customHeight="1" x14ac:dyDescent="0.15">
      <c r="A236" s="1" t="s">
        <v>440</v>
      </c>
      <c r="B236" s="2" t="s">
        <v>350</v>
      </c>
      <c r="C236" s="2" t="s">
        <v>292</v>
      </c>
      <c r="D236" s="2" t="s">
        <v>431</v>
      </c>
      <c r="E236" s="6">
        <v>1300</v>
      </c>
      <c r="F236" s="18">
        <v>131836.35</v>
      </c>
      <c r="G236" s="18">
        <v>43756.03</v>
      </c>
      <c r="H236" s="18">
        <v>58075.199999999997</v>
      </c>
      <c r="I236" s="18">
        <v>1273.33</v>
      </c>
      <c r="J236" s="18">
        <v>1897.92</v>
      </c>
      <c r="K236" s="18"/>
      <c r="L236" s="19">
        <f>SUM(F236:K236)</f>
        <v>236838.83000000002</v>
      </c>
      <c r="M236" s="8"/>
      <c r="N236" s="264"/>
    </row>
    <row r="237" spans="1:14" s="3" customFormat="1" ht="12.2" customHeight="1" x14ac:dyDescent="0.15">
      <c r="A237" s="1" t="s">
        <v>441</v>
      </c>
      <c r="B237" s="2" t="s">
        <v>350</v>
      </c>
      <c r="C237" s="2" t="s">
        <v>293</v>
      </c>
      <c r="D237" s="2" t="s">
        <v>431</v>
      </c>
      <c r="E237" s="6">
        <v>1400</v>
      </c>
      <c r="F237" s="18">
        <f>43760+2076.03</f>
        <v>45836.03</v>
      </c>
      <c r="G237" s="18">
        <f>9672.52+158.83+369.54</f>
        <v>10200.890000000001</v>
      </c>
      <c r="H237" s="18">
        <v>6871</v>
      </c>
      <c r="I237" s="18"/>
      <c r="J237" s="18">
        <v>10677.87</v>
      </c>
      <c r="K237" s="18">
        <v>2855.85</v>
      </c>
      <c r="L237" s="19">
        <f>SUM(F237:K237)</f>
        <v>76441.64</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39721.599999999999</v>
      </c>
      <c r="G239" s="18">
        <v>3468.82</v>
      </c>
      <c r="H239" s="18">
        <v>87170.52</v>
      </c>
      <c r="I239" s="18">
        <v>3242.57</v>
      </c>
      <c r="J239" s="18"/>
      <c r="K239" s="18"/>
      <c r="L239" s="19">
        <f t="shared" ref="L239:L245" si="4">SUM(F239:K239)</f>
        <v>133603.51</v>
      </c>
      <c r="M239" s="8"/>
      <c r="N239" s="264"/>
    </row>
    <row r="240" spans="1:14" s="3" customFormat="1" ht="12.2" customHeight="1" x14ac:dyDescent="0.15">
      <c r="A240" s="1" t="s">
        <v>443</v>
      </c>
      <c r="B240" s="2" t="s">
        <v>350</v>
      </c>
      <c r="C240" s="2" t="s">
        <v>295</v>
      </c>
      <c r="D240" s="2" t="s">
        <v>431</v>
      </c>
      <c r="E240" s="6">
        <v>2200</v>
      </c>
      <c r="F240" s="18">
        <v>12405.8</v>
      </c>
      <c r="G240" s="18">
        <v>7397.12</v>
      </c>
      <c r="H240" s="18">
        <v>11712.16</v>
      </c>
      <c r="I240" s="18">
        <v>2312.2199999999998</v>
      </c>
      <c r="J240" s="18"/>
      <c r="K240" s="18">
        <v>575.29999999999995</v>
      </c>
      <c r="L240" s="19">
        <f t="shared" si="4"/>
        <v>34402.6</v>
      </c>
      <c r="M240" s="8"/>
      <c r="N240" s="264"/>
    </row>
    <row r="241" spans="1:14" s="3" customFormat="1" ht="12.2" customHeight="1" x14ac:dyDescent="0.15">
      <c r="A241" s="1" t="s">
        <v>444</v>
      </c>
      <c r="B241" s="2" t="s">
        <v>350</v>
      </c>
      <c r="C241" s="2" t="s">
        <v>296</v>
      </c>
      <c r="D241" s="2" t="s">
        <v>431</v>
      </c>
      <c r="E241" s="6">
        <v>2300</v>
      </c>
      <c r="F241" s="18">
        <f>420+180+2970</f>
        <v>3570</v>
      </c>
      <c r="G241" s="18">
        <f>32.15+13.79+227.21+6.97</f>
        <v>280.12</v>
      </c>
      <c r="H241" s="18">
        <f>95307.15+427.05</f>
        <v>95734.2</v>
      </c>
      <c r="I241" s="18"/>
      <c r="J241" s="18"/>
      <c r="K241" s="18">
        <v>6248.85</v>
      </c>
      <c r="L241" s="19">
        <f t="shared" si="4"/>
        <v>105833.17</v>
      </c>
      <c r="M241" s="8"/>
      <c r="N241" s="264"/>
    </row>
    <row r="242" spans="1:14" s="3" customFormat="1" ht="12.2" customHeight="1" x14ac:dyDescent="0.15">
      <c r="A242" s="1" t="s">
        <v>445</v>
      </c>
      <c r="B242" s="2" t="s">
        <v>350</v>
      </c>
      <c r="C242" s="2" t="s">
        <v>297</v>
      </c>
      <c r="D242" s="2" t="s">
        <v>431</v>
      </c>
      <c r="E242" s="6">
        <v>2400</v>
      </c>
      <c r="F242" s="18">
        <v>80362.17</v>
      </c>
      <c r="G242" s="18">
        <v>28748.36</v>
      </c>
      <c r="H242" s="18">
        <v>9573.17</v>
      </c>
      <c r="I242" s="18">
        <v>3444.07</v>
      </c>
      <c r="J242" s="18">
        <v>5466.82</v>
      </c>
      <c r="K242" s="18">
        <v>3992.42</v>
      </c>
      <c r="L242" s="19">
        <f t="shared" si="4"/>
        <v>131587.01</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v>65938.990000000005</v>
      </c>
      <c r="G244" s="18">
        <v>21328.76</v>
      </c>
      <c r="H244" s="18">
        <v>71616.33</v>
      </c>
      <c r="I244" s="18">
        <v>32388.59</v>
      </c>
      <c r="J244" s="18">
        <v>11550.59</v>
      </c>
      <c r="K244" s="18"/>
      <c r="L244" s="19">
        <f t="shared" si="4"/>
        <v>202823.26</v>
      </c>
      <c r="M244" s="8"/>
      <c r="N244" s="264"/>
    </row>
    <row r="245" spans="1:14" s="3" customFormat="1" ht="12.2" customHeight="1" x14ac:dyDescent="0.15">
      <c r="A245" s="1" t="s">
        <v>448</v>
      </c>
      <c r="B245" s="2" t="s">
        <v>350</v>
      </c>
      <c r="C245" s="2" t="s">
        <v>300</v>
      </c>
      <c r="D245" s="2" t="s">
        <v>431</v>
      </c>
      <c r="E245" s="6">
        <v>2700</v>
      </c>
      <c r="F245" s="18">
        <f>1485</f>
        <v>1485</v>
      </c>
      <c r="G245" s="18">
        <f>113.61+50.27+168.74</f>
        <v>332.62</v>
      </c>
      <c r="H245" s="18">
        <v>83848.78</v>
      </c>
      <c r="I245" s="18">
        <v>1003.6</v>
      </c>
      <c r="J245" s="18">
        <v>32154</v>
      </c>
      <c r="K245" s="18"/>
      <c r="L245" s="19">
        <f t="shared" si="4"/>
        <v>118824</v>
      </c>
      <c r="M245" s="8"/>
      <c r="N245" s="264"/>
    </row>
    <row r="246" spans="1:14" s="3" customFormat="1" ht="12.2" customHeight="1" x14ac:dyDescent="0.15">
      <c r="A246" s="1" t="s">
        <v>449</v>
      </c>
      <c r="B246" s="2" t="s">
        <v>350</v>
      </c>
      <c r="C246" s="2" t="s">
        <v>343</v>
      </c>
      <c r="D246" s="2" t="s">
        <v>431</v>
      </c>
      <c r="E246" s="6">
        <v>2800</v>
      </c>
      <c r="F246" s="18">
        <v>30202.71</v>
      </c>
      <c r="G246" s="18">
        <v>5716.51</v>
      </c>
      <c r="H246" s="18">
        <v>2083.63</v>
      </c>
      <c r="I246" s="18">
        <v>2556.96</v>
      </c>
      <c r="J246" s="18">
        <v>49895.17</v>
      </c>
      <c r="K246" s="18"/>
      <c r="L246" s="19">
        <f>SUM(F246:K246)</f>
        <v>90454.98</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1157829.06</v>
      </c>
      <c r="G248" s="41">
        <f t="shared" si="5"/>
        <v>431676.49000000005</v>
      </c>
      <c r="H248" s="41">
        <f t="shared" si="5"/>
        <v>498097.83999999997</v>
      </c>
      <c r="I248" s="41">
        <f t="shared" si="5"/>
        <v>64911.14</v>
      </c>
      <c r="J248" s="41">
        <f t="shared" si="5"/>
        <v>118160.66</v>
      </c>
      <c r="K248" s="41">
        <f t="shared" si="5"/>
        <v>13672.42</v>
      </c>
      <c r="L248" s="41">
        <f t="shared" si="5"/>
        <v>2284347.61</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f>1863+1749.95</f>
        <v>3612.95</v>
      </c>
      <c r="J254" s="18"/>
      <c r="K254" s="18"/>
      <c r="L254" s="19">
        <f t="shared" si="6"/>
        <v>3612.95</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3612.95</v>
      </c>
      <c r="J257" s="41">
        <f t="shared" si="7"/>
        <v>0</v>
      </c>
      <c r="K257" s="41">
        <f t="shared" si="7"/>
        <v>0</v>
      </c>
      <c r="L257" s="41">
        <f>SUM(F257:K257)</f>
        <v>3612.95</v>
      </c>
      <c r="M257" s="8"/>
      <c r="N257" s="264"/>
    </row>
    <row r="258" spans="1:14" s="3" customFormat="1" ht="12.2" customHeight="1" thickTop="1" x14ac:dyDescent="0.15">
      <c r="A258" s="38" t="s">
        <v>462</v>
      </c>
      <c r="B258" s="40">
        <v>10</v>
      </c>
      <c r="C258" s="40">
        <v>8</v>
      </c>
      <c r="D258" s="39" t="s">
        <v>431</v>
      </c>
      <c r="E258" s="40"/>
      <c r="F258" s="41">
        <f t="shared" ref="F258:L258" si="8">F212+F230+F248+F257</f>
        <v>3136166.3</v>
      </c>
      <c r="G258" s="41">
        <f t="shared" si="8"/>
        <v>1342749.19</v>
      </c>
      <c r="H258" s="41">
        <f t="shared" si="8"/>
        <v>1270638.23</v>
      </c>
      <c r="I258" s="41">
        <f t="shared" si="8"/>
        <v>397777.56</v>
      </c>
      <c r="J258" s="41">
        <f t="shared" si="8"/>
        <v>252943.27</v>
      </c>
      <c r="K258" s="41">
        <f t="shared" si="8"/>
        <v>78192.259999999995</v>
      </c>
      <c r="L258" s="41">
        <f t="shared" si="8"/>
        <v>6478466.8099999996</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82944.2</v>
      </c>
      <c r="L261" s="19">
        <f>SUM(F261:K261)</f>
        <v>82944.2</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19345.46</v>
      </c>
      <c r="L262" s="19">
        <f>SUM(F262:K262)</f>
        <v>19345.46</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t="s">
        <v>286</v>
      </c>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387909</v>
      </c>
      <c r="L267" s="19">
        <f t="shared" si="9"/>
        <v>387909</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12230</v>
      </c>
      <c r="L269" s="19">
        <f t="shared" si="9"/>
        <v>12230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502428.66000000003</v>
      </c>
      <c r="L271" s="41">
        <f t="shared" si="9"/>
        <v>502428.66000000003</v>
      </c>
      <c r="M271" s="8"/>
      <c r="N271" s="264"/>
    </row>
    <row r="272" spans="1:14" s="34" customFormat="1" ht="12.2" customHeight="1" thickTop="1" x14ac:dyDescent="0.2">
      <c r="A272" s="43" t="s">
        <v>464</v>
      </c>
      <c r="B272" s="40">
        <v>10</v>
      </c>
      <c r="C272" s="40">
        <v>18</v>
      </c>
      <c r="D272" s="39" t="s">
        <v>431</v>
      </c>
      <c r="E272" s="40"/>
      <c r="F272" s="42">
        <f t="shared" ref="F272:L272" si="11">F258+F271</f>
        <v>3136166.3</v>
      </c>
      <c r="G272" s="42">
        <f t="shared" si="11"/>
        <v>1342749.19</v>
      </c>
      <c r="H272" s="42">
        <f t="shared" si="11"/>
        <v>1270638.23</v>
      </c>
      <c r="I272" s="42">
        <f t="shared" si="11"/>
        <v>397777.56</v>
      </c>
      <c r="J272" s="42">
        <f t="shared" si="11"/>
        <v>252943.27</v>
      </c>
      <c r="K272" s="42">
        <f t="shared" si="11"/>
        <v>580620.92000000004</v>
      </c>
      <c r="L272" s="42">
        <f t="shared" si="11"/>
        <v>6980895.4699999997</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112099+55679.04</f>
        <v>167778.04</v>
      </c>
      <c r="G277" s="18">
        <f>52421.79+13596.95</f>
        <v>66018.740000000005</v>
      </c>
      <c r="H277" s="18" t="s">
        <v>286</v>
      </c>
      <c r="I277" s="18">
        <f>3467.85</f>
        <v>3467.85</v>
      </c>
      <c r="J277" s="18">
        <f>81171</f>
        <v>81171</v>
      </c>
      <c r="K277" s="18"/>
      <c r="L277" s="19">
        <f>SUM(F277:K277)</f>
        <v>318435.63</v>
      </c>
      <c r="M277" s="8"/>
      <c r="N277" s="264"/>
    </row>
    <row r="278" spans="1:14" s="3" customFormat="1" ht="12.2" customHeight="1" x14ac:dyDescent="0.15">
      <c r="A278" s="1" t="s">
        <v>439</v>
      </c>
      <c r="B278" s="2" t="s">
        <v>357</v>
      </c>
      <c r="C278" s="2" t="s">
        <v>291</v>
      </c>
      <c r="D278" s="2" t="s">
        <v>431</v>
      </c>
      <c r="E278" s="6">
        <v>1200</v>
      </c>
      <c r="F278" s="18">
        <f>326.53+176.27+370+135.82+37000+16183</f>
        <v>54191.62</v>
      </c>
      <c r="G278" s="18">
        <f>15.06+0.12+0.18+3.72+13.39+68.89+28.31+65.83+10.33+1.35+3780+268+17+40+1238+1893</f>
        <v>7443.18</v>
      </c>
      <c r="H278" s="18">
        <f>15500+711+1361.26+3778.08+1350.1+20000+20000+1250+749.9</f>
        <v>64700.34</v>
      </c>
      <c r="I278" s="18">
        <f>964.88+538.31+32.38+1575+14325.66+3600+171.77+122.6+3900+3864.36</f>
        <v>29094.959999999999</v>
      </c>
      <c r="J278" s="18">
        <f>404.8+10865.58+54.38</f>
        <v>11324.759999999998</v>
      </c>
      <c r="K278" s="18"/>
      <c r="L278" s="19">
        <f>SUM(F278:K278)</f>
        <v>166754.86000000002</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350</v>
      </c>
      <c r="G280" s="18"/>
      <c r="H280" s="18"/>
      <c r="I280" s="18"/>
      <c r="J280" s="18">
        <v>2044.03</v>
      </c>
      <c r="K280" s="18">
        <v>350</v>
      </c>
      <c r="L280" s="19">
        <f>SUM(F280:K280)</f>
        <v>2744.0299999999997</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f>10000+1848</f>
        <v>11848</v>
      </c>
      <c r="I282" s="18">
        <v>4501.3999999999996</v>
      </c>
      <c r="J282" s="18"/>
      <c r="K282" s="18"/>
      <c r="L282" s="19">
        <f t="shared" ref="L282:L288" si="12">SUM(F282:K282)</f>
        <v>16349.4</v>
      </c>
      <c r="M282" s="8"/>
      <c r="N282" s="264"/>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f>541.73+8487.51</f>
        <v>9029.24</v>
      </c>
      <c r="L284" s="19">
        <f t="shared" si="12"/>
        <v>9029.24</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f>16600.12</f>
        <v>16600.12</v>
      </c>
      <c r="I288" s="18"/>
      <c r="J288" s="18"/>
      <c r="K288" s="18"/>
      <c r="L288" s="19">
        <f t="shared" si="12"/>
        <v>16600.12</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222319.66</v>
      </c>
      <c r="G291" s="42">
        <f t="shared" si="13"/>
        <v>73461.920000000013</v>
      </c>
      <c r="H291" s="42">
        <f t="shared" si="13"/>
        <v>93148.459999999992</v>
      </c>
      <c r="I291" s="42">
        <f t="shared" si="13"/>
        <v>37064.21</v>
      </c>
      <c r="J291" s="42">
        <f t="shared" si="13"/>
        <v>94539.79</v>
      </c>
      <c r="K291" s="42">
        <f t="shared" si="13"/>
        <v>9379.24</v>
      </c>
      <c r="L291" s="41">
        <f t="shared" si="13"/>
        <v>529913.28</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f>201.12+148+54.33</f>
        <v>403.45</v>
      </c>
      <c r="G297" s="18">
        <f>40.54+37.66+4.67</f>
        <v>82.86999999999999</v>
      </c>
      <c r="H297" s="18">
        <f>6200+544.5</f>
        <v>6744.5</v>
      </c>
      <c r="I297" s="18">
        <f>1244.22+7170.26</f>
        <v>8414.48</v>
      </c>
      <c r="J297" s="18">
        <f>161.92+4346.25</f>
        <v>4508.17</v>
      </c>
      <c r="K297" s="18">
        <v>284.39999999999998</v>
      </c>
      <c r="L297" s="19">
        <f>SUM(F297:K297)</f>
        <v>20437.870000000003</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v>750</v>
      </c>
      <c r="G299" s="18"/>
      <c r="H299" s="18"/>
      <c r="I299" s="18"/>
      <c r="J299" s="18">
        <v>3355</v>
      </c>
      <c r="K299" s="18">
        <v>100</v>
      </c>
      <c r="L299" s="19">
        <f>SUM(F299:K299)</f>
        <v>4205</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v>626.17999999999995</v>
      </c>
      <c r="H301" s="18">
        <f>8185.4+4000</f>
        <v>12185.4</v>
      </c>
      <c r="I301" s="18">
        <v>188.41</v>
      </c>
      <c r="J301" s="18"/>
      <c r="K301" s="18"/>
      <c r="L301" s="19">
        <f t="shared" ref="L301:L307" si="14">SUM(F301:K301)</f>
        <v>12999.99</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v>6983.25</v>
      </c>
      <c r="I303" s="18"/>
      <c r="J303" s="18"/>
      <c r="K303" s="18">
        <v>216.69</v>
      </c>
      <c r="L303" s="19">
        <f t="shared" si="14"/>
        <v>7199.94</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1153.45</v>
      </c>
      <c r="G310" s="42">
        <f t="shared" si="15"/>
        <v>709.05</v>
      </c>
      <c r="H310" s="42">
        <f t="shared" si="15"/>
        <v>25913.15</v>
      </c>
      <c r="I310" s="42">
        <f t="shared" si="15"/>
        <v>8602.89</v>
      </c>
      <c r="J310" s="42">
        <f t="shared" si="15"/>
        <v>7863.17</v>
      </c>
      <c r="K310" s="42">
        <f t="shared" si="15"/>
        <v>601.08999999999992</v>
      </c>
      <c r="L310" s="41">
        <f t="shared" si="15"/>
        <v>44842.8</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f>301.68+222+81.49</f>
        <v>605.17000000000007</v>
      </c>
      <c r="G316" s="18">
        <f>60.81+56.5+7.01</f>
        <v>124.32000000000001</v>
      </c>
      <c r="H316" s="18">
        <f>9300+816.76</f>
        <v>10116.76</v>
      </c>
      <c r="I316" s="18">
        <f>1866.33+10755.39</f>
        <v>12621.72</v>
      </c>
      <c r="J316" s="18">
        <f>242.88+6519.35</f>
        <v>6762.2300000000005</v>
      </c>
      <c r="K316" s="18">
        <v>426.6</v>
      </c>
      <c r="L316" s="19">
        <f>SUM(F316:K316)</f>
        <v>30656.799999999999</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v>1000</v>
      </c>
      <c r="G318" s="18"/>
      <c r="H318" s="18"/>
      <c r="I318" s="18"/>
      <c r="J318" s="18">
        <v>3394.98</v>
      </c>
      <c r="K318" s="18">
        <v>250</v>
      </c>
      <c r="L318" s="19">
        <f>SUM(F318:K318)</f>
        <v>4644.9799999999996</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8185.4</v>
      </c>
      <c r="G320" s="18">
        <v>626.19000000000005</v>
      </c>
      <c r="H320" s="18">
        <f>188.42+6000</f>
        <v>6188.42</v>
      </c>
      <c r="I320" s="18"/>
      <c r="J320" s="18"/>
      <c r="K320" s="18"/>
      <c r="L320" s="19">
        <f t="shared" ref="L320:L326" si="16">SUM(F320:K320)</f>
        <v>15000.01</v>
      </c>
      <c r="M320" s="8"/>
      <c r="N320" s="264"/>
    </row>
    <row r="321" spans="1:14" s="3" customFormat="1" ht="12.2" customHeight="1" x14ac:dyDescent="0.15">
      <c r="A321" s="1" t="s">
        <v>443</v>
      </c>
      <c r="B321" s="2" t="s">
        <v>359</v>
      </c>
      <c r="C321" s="2" t="s">
        <v>295</v>
      </c>
      <c r="D321" s="2" t="s">
        <v>431</v>
      </c>
      <c r="E321" s="6">
        <v>2200</v>
      </c>
      <c r="F321" s="18"/>
      <c r="G321" s="18"/>
      <c r="H321" s="18">
        <v>11712.16</v>
      </c>
      <c r="I321" s="18">
        <v>2312.2199999999998</v>
      </c>
      <c r="J321" s="18">
        <v>865</v>
      </c>
      <c r="K321" s="18"/>
      <c r="L321" s="19">
        <f t="shared" si="16"/>
        <v>14889.38</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f>325.04+24.79</f>
        <v>349.83000000000004</v>
      </c>
      <c r="L322" s="19">
        <f t="shared" si="16"/>
        <v>349.83000000000004</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t="s">
        <v>286</v>
      </c>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9790.57</v>
      </c>
      <c r="G329" s="42">
        <f t="shared" si="17"/>
        <v>750.5100000000001</v>
      </c>
      <c r="H329" s="42">
        <f t="shared" si="17"/>
        <v>28017.34</v>
      </c>
      <c r="I329" s="42">
        <f t="shared" si="17"/>
        <v>14933.939999999999</v>
      </c>
      <c r="J329" s="42">
        <f t="shared" si="17"/>
        <v>11022.210000000001</v>
      </c>
      <c r="K329" s="42">
        <f t="shared" si="17"/>
        <v>1026.43</v>
      </c>
      <c r="L329" s="41">
        <f t="shared" si="17"/>
        <v>65541</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233263.68000000002</v>
      </c>
      <c r="G339" s="41">
        <f t="shared" si="20"/>
        <v>74921.48000000001</v>
      </c>
      <c r="H339" s="41">
        <f t="shared" si="20"/>
        <v>147078.94999999998</v>
      </c>
      <c r="I339" s="41">
        <f t="shared" si="20"/>
        <v>60601.039999999994</v>
      </c>
      <c r="J339" s="41">
        <f t="shared" si="20"/>
        <v>113425.17</v>
      </c>
      <c r="K339" s="41">
        <f t="shared" si="20"/>
        <v>11006.76</v>
      </c>
      <c r="L339" s="41">
        <f t="shared" si="20"/>
        <v>640297.08000000007</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53.55</v>
      </c>
      <c r="L346" s="19">
        <f t="shared" si="21"/>
        <v>53.55</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t="s">
        <v>286</v>
      </c>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53.55</v>
      </c>
      <c r="L352" s="41">
        <f>SUM(L342:L351)</f>
        <v>53.55</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233263.68000000002</v>
      </c>
      <c r="G353" s="41">
        <f>G339</f>
        <v>74921.48000000001</v>
      </c>
      <c r="H353" s="41">
        <f>H339</f>
        <v>147078.94999999998</v>
      </c>
      <c r="I353" s="41">
        <f>I339</f>
        <v>60601.039999999994</v>
      </c>
      <c r="J353" s="41">
        <f>J339</f>
        <v>113425.17</v>
      </c>
      <c r="K353" s="47">
        <f>K339+K352</f>
        <v>11060.31</v>
      </c>
      <c r="L353" s="41">
        <f>L339+L352</f>
        <v>640350.63000000012</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53442.07</v>
      </c>
      <c r="I359" s="18">
        <v>83.17</v>
      </c>
      <c r="J359" s="18">
        <v>4572.5</v>
      </c>
      <c r="K359" s="18"/>
      <c r="L359" s="13">
        <f>SUM(F359:K359)</f>
        <v>58097.74</v>
      </c>
      <c r="M359" s="8"/>
      <c r="N359" s="264"/>
    </row>
    <row r="360" spans="1:22" s="3" customFormat="1" ht="12.2" customHeight="1" x14ac:dyDescent="0.15">
      <c r="A360" s="1" t="s">
        <v>542</v>
      </c>
      <c r="B360" s="2" t="s">
        <v>366</v>
      </c>
      <c r="C360" s="6">
        <v>2</v>
      </c>
      <c r="D360" s="2" t="s">
        <v>431</v>
      </c>
      <c r="E360" s="6"/>
      <c r="F360" s="18"/>
      <c r="G360" s="18"/>
      <c r="H360" s="18">
        <v>21376.84</v>
      </c>
      <c r="I360" s="18">
        <v>33.270000000000003</v>
      </c>
      <c r="J360" s="18">
        <v>1829</v>
      </c>
      <c r="K360" s="18"/>
      <c r="L360" s="19">
        <f>SUM(F360:K360)</f>
        <v>23239.11</v>
      </c>
      <c r="M360" s="8"/>
      <c r="N360" s="264"/>
    </row>
    <row r="361" spans="1:22" s="3" customFormat="1" ht="12.2" customHeight="1" x14ac:dyDescent="0.15">
      <c r="A361" s="3" t="s">
        <v>543</v>
      </c>
      <c r="B361" s="2" t="s">
        <v>366</v>
      </c>
      <c r="C361" s="6">
        <v>3</v>
      </c>
      <c r="D361" s="2" t="s">
        <v>431</v>
      </c>
      <c r="E361" s="6"/>
      <c r="F361" s="18"/>
      <c r="G361" s="18"/>
      <c r="H361" s="18">
        <v>32065.29</v>
      </c>
      <c r="I361" s="18">
        <v>49.9</v>
      </c>
      <c r="J361" s="18">
        <v>2743.5</v>
      </c>
      <c r="K361" s="18"/>
      <c r="L361" s="19">
        <f>SUM(F361:K361)</f>
        <v>34858.69</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106884.20000000001</v>
      </c>
      <c r="I363" s="47">
        <f t="shared" si="22"/>
        <v>166.34</v>
      </c>
      <c r="J363" s="47">
        <f t="shared" si="22"/>
        <v>9145</v>
      </c>
      <c r="K363" s="47">
        <f t="shared" si="22"/>
        <v>0</v>
      </c>
      <c r="L363" s="47">
        <f t="shared" si="22"/>
        <v>116195.54000000001</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t="s">
        <v>286</v>
      </c>
      <c r="G368" s="18" t="s">
        <v>286</v>
      </c>
      <c r="H368" s="18" t="s">
        <v>286</v>
      </c>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83.17</v>
      </c>
      <c r="G369" s="63">
        <v>33.270000000000003</v>
      </c>
      <c r="H369" s="63">
        <v>49.9</v>
      </c>
      <c r="I369" s="56">
        <f>SUM(F369:H369)</f>
        <v>166.34</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83.17</v>
      </c>
      <c r="G370" s="47">
        <f>SUM(G368:G369)</f>
        <v>33.270000000000003</v>
      </c>
      <c r="H370" s="47">
        <f>SUM(H368:H369)</f>
        <v>49.9</v>
      </c>
      <c r="I370" s="47">
        <f>SUM(I368:I369)</f>
        <v>166.34</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t="s">
        <v>286</v>
      </c>
      <c r="G378" s="18" t="s">
        <v>286</v>
      </c>
      <c r="H378" s="18" t="s">
        <v>286</v>
      </c>
      <c r="I378" s="18" t="s">
        <v>286</v>
      </c>
      <c r="J378" s="18" t="s">
        <v>286</v>
      </c>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387909</v>
      </c>
      <c r="H397" s="18">
        <v>268.97000000000003</v>
      </c>
      <c r="I397" s="18"/>
      <c r="J397" s="24" t="s">
        <v>288</v>
      </c>
      <c r="K397" s="24" t="s">
        <v>288</v>
      </c>
      <c r="L397" s="56">
        <f t="shared" si="26"/>
        <v>388177.97</v>
      </c>
      <c r="M397" s="8"/>
      <c r="N397" s="264"/>
    </row>
    <row r="398" spans="1:14" s="3" customFormat="1" ht="12.2" customHeight="1" x14ac:dyDescent="0.15">
      <c r="A398" s="79" t="s">
        <v>515</v>
      </c>
      <c r="B398" s="2" t="s">
        <v>381</v>
      </c>
      <c r="C398" s="6">
        <v>10</v>
      </c>
      <c r="D398" s="2" t="s">
        <v>432</v>
      </c>
      <c r="E398" s="6"/>
      <c r="F398" s="18"/>
      <c r="G398" s="18" t="s">
        <v>286</v>
      </c>
      <c r="H398" s="18">
        <v>49.42</v>
      </c>
      <c r="I398" s="18"/>
      <c r="J398" s="24" t="s">
        <v>288</v>
      </c>
      <c r="K398" s="24" t="s">
        <v>288</v>
      </c>
      <c r="L398" s="56">
        <f t="shared" si="26"/>
        <v>49.42</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t="s">
        <v>286</v>
      </c>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387909</v>
      </c>
      <c r="H402" s="47">
        <f>SUM(H396:H401)</f>
        <v>318.39000000000004</v>
      </c>
      <c r="I402" s="47">
        <f>SUM(I396:I401)</f>
        <v>0</v>
      </c>
      <c r="J402" s="45" t="s">
        <v>288</v>
      </c>
      <c r="K402" s="45" t="s">
        <v>288</v>
      </c>
      <c r="L402" s="47">
        <f>SUM(L396:L401)</f>
        <v>388227.38999999996</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387909</v>
      </c>
      <c r="H409" s="47">
        <f>H394+H402+H408</f>
        <v>318.39000000000004</v>
      </c>
      <c r="I409" s="47">
        <f>I394+I402+I408</f>
        <v>0</v>
      </c>
      <c r="J409" s="24" t="s">
        <v>288</v>
      </c>
      <c r="K409" s="24" t="s">
        <v>288</v>
      </c>
      <c r="L409" s="47">
        <f>L394+L402+L408</f>
        <v>388227.38999999996</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v>75000</v>
      </c>
      <c r="H424" s="18"/>
      <c r="I424" s="18"/>
      <c r="J424" s="18"/>
      <c r="K424" s="18"/>
      <c r="L424" s="56">
        <f t="shared" si="29"/>
        <v>75000</v>
      </c>
      <c r="M424" s="8"/>
      <c r="N424" s="264"/>
    </row>
    <row r="425" spans="1:21" s="3" customFormat="1" ht="12.2" customHeight="1" x14ac:dyDescent="0.15">
      <c r="A425" s="79" t="s">
        <v>558</v>
      </c>
      <c r="B425" s="6">
        <v>17</v>
      </c>
      <c r="C425" s="6">
        <v>11</v>
      </c>
      <c r="D425" s="2" t="s">
        <v>432</v>
      </c>
      <c r="E425" s="6"/>
      <c r="F425" s="18"/>
      <c r="G425" s="18">
        <v>55.68</v>
      </c>
      <c r="H425" s="18"/>
      <c r="I425" s="18"/>
      <c r="J425" s="18"/>
      <c r="K425" s="18"/>
      <c r="L425" s="56">
        <f t="shared" si="29"/>
        <v>55.68</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75055.679999999993</v>
      </c>
      <c r="H428" s="47">
        <f t="shared" si="30"/>
        <v>0</v>
      </c>
      <c r="I428" s="47">
        <f t="shared" si="30"/>
        <v>0</v>
      </c>
      <c r="J428" s="47">
        <f t="shared" si="30"/>
        <v>0</v>
      </c>
      <c r="K428" s="47">
        <f t="shared" si="30"/>
        <v>0</v>
      </c>
      <c r="L428" s="47">
        <f t="shared" si="30"/>
        <v>75055.679999999993</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75055.679999999993</v>
      </c>
      <c r="H435" s="47">
        <f t="shared" si="32"/>
        <v>0</v>
      </c>
      <c r="I435" s="47">
        <f t="shared" si="32"/>
        <v>0</v>
      </c>
      <c r="J435" s="47">
        <f t="shared" si="32"/>
        <v>0</v>
      </c>
      <c r="K435" s="47">
        <f t="shared" si="32"/>
        <v>0</v>
      </c>
      <c r="L435" s="47">
        <f t="shared" si="32"/>
        <v>75055.679999999993</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v>510811.33</v>
      </c>
      <c r="H440" s="18"/>
      <c r="I440" s="56">
        <f t="shared" ref="I440:I446" si="33">SUM(F440:H440)</f>
        <v>510811.33</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510811.33</v>
      </c>
      <c r="H447" s="13">
        <f>SUM(H440:H446)</f>
        <v>0</v>
      </c>
      <c r="I447" s="13">
        <f>SUM(I440:I446)</f>
        <v>510811.33</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v>510811.33</v>
      </c>
      <c r="H457" s="18"/>
      <c r="I457" s="56">
        <f t="shared" si="34"/>
        <v>510811.33</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510811.33</v>
      </c>
      <c r="H461" s="83">
        <f>SUM(H455:H460)</f>
        <v>0</v>
      </c>
      <c r="I461" s="83">
        <f>SUM(I455:I460)</f>
        <v>510811.33</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510811.33</v>
      </c>
      <c r="H462" s="42">
        <f>H453+H461</f>
        <v>0</v>
      </c>
      <c r="I462" s="42">
        <f>I453+I461</f>
        <v>510811.33</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201799.42</v>
      </c>
      <c r="G466" s="18">
        <v>14841.46</v>
      </c>
      <c r="H466" s="18"/>
      <c r="I466" s="18"/>
      <c r="J466" s="18">
        <v>197639.62</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7075636.4100000001</v>
      </c>
      <c r="G469" s="18">
        <v>116195.54</v>
      </c>
      <c r="H469" s="18">
        <v>640350.63</v>
      </c>
      <c r="I469" s="18"/>
      <c r="J469" s="18">
        <v>388227.39</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7075636.4100000001</v>
      </c>
      <c r="G471" s="53">
        <f>SUM(G469:G470)</f>
        <v>116195.54</v>
      </c>
      <c r="H471" s="53">
        <f>SUM(H469:H470)</f>
        <v>640350.63</v>
      </c>
      <c r="I471" s="53">
        <f>SUM(I469:I470)</f>
        <v>0</v>
      </c>
      <c r="J471" s="53">
        <f>SUM(J469:J470)</f>
        <v>388227.39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6980895.4699999997</v>
      </c>
      <c r="G473" s="18">
        <v>116195.54</v>
      </c>
      <c r="H473" s="18">
        <v>640350.63</v>
      </c>
      <c r="I473" s="18"/>
      <c r="J473" s="18">
        <v>75055.679999999993</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6980895.4699999997</v>
      </c>
      <c r="G475" s="53">
        <f>SUM(G473:G474)</f>
        <v>116195.54</v>
      </c>
      <c r="H475" s="53">
        <f>SUM(H473:H474)</f>
        <v>640350.63</v>
      </c>
      <c r="I475" s="53">
        <f>SUM(I473:I474)</f>
        <v>0</v>
      </c>
      <c r="J475" s="53">
        <f>SUM(J473:J474)</f>
        <v>75055.679999999993</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296540.36000000034</v>
      </c>
      <c r="G477" s="53">
        <f>(G466+G471)- G475</f>
        <v>14841.460000000006</v>
      </c>
      <c r="H477" s="53">
        <f>(H466+H471)- H475</f>
        <v>0</v>
      </c>
      <c r="I477" s="53">
        <f>(I466+I471)- I475</f>
        <v>0</v>
      </c>
      <c r="J477" s="53">
        <f>(J466+J471)- J475</f>
        <v>510811.33</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304605.15000000002</v>
      </c>
      <c r="G522" s="18">
        <v>157802.47</v>
      </c>
      <c r="H522" s="18">
        <v>98561.82</v>
      </c>
      <c r="I522" s="18">
        <v>4369.63</v>
      </c>
      <c r="J522" s="18">
        <v>108.76</v>
      </c>
      <c r="K522" s="18"/>
      <c r="L522" s="88">
        <f>SUM(F522:K522)</f>
        <v>565447.82999999996</v>
      </c>
      <c r="N522" s="263"/>
    </row>
    <row r="523" spans="1:14" s="52" customFormat="1" ht="12.2" customHeight="1" x14ac:dyDescent="0.2">
      <c r="A523" s="22" t="s">
        <v>634</v>
      </c>
      <c r="B523" s="105">
        <v>21</v>
      </c>
      <c r="C523" s="115">
        <v>2</v>
      </c>
      <c r="D523" s="2" t="s">
        <v>432</v>
      </c>
      <c r="E523" s="115"/>
      <c r="F523" s="18">
        <v>118514.47</v>
      </c>
      <c r="G523" s="18">
        <v>55834.05</v>
      </c>
      <c r="H523" s="18">
        <v>78109.8</v>
      </c>
      <c r="I523" s="18">
        <v>70.099999999999994</v>
      </c>
      <c r="J523" s="18"/>
      <c r="K523" s="18"/>
      <c r="L523" s="88">
        <f>SUM(F523:K523)</f>
        <v>252528.42</v>
      </c>
      <c r="N523" s="263"/>
    </row>
    <row r="524" spans="1:14" s="52" customFormat="1" ht="12.2" customHeight="1" thickBot="1" x14ac:dyDescent="0.25">
      <c r="A524" s="22" t="s">
        <v>635</v>
      </c>
      <c r="B524" s="105">
        <v>21</v>
      </c>
      <c r="C524" s="115">
        <v>3</v>
      </c>
      <c r="D524" s="2" t="s">
        <v>432</v>
      </c>
      <c r="E524" s="115"/>
      <c r="F524" s="18">
        <v>113967.27</v>
      </c>
      <c r="G524" s="18">
        <v>57336.73</v>
      </c>
      <c r="H524" s="18">
        <v>67747.37</v>
      </c>
      <c r="I524" s="18">
        <v>105.15</v>
      </c>
      <c r="J524" s="18"/>
      <c r="K524" s="18"/>
      <c r="L524" s="88">
        <f>SUM(F524:K524)</f>
        <v>239156.52</v>
      </c>
      <c r="N524" s="263"/>
    </row>
    <row r="525" spans="1:14" s="52" customFormat="1" ht="12.2" customHeight="1" thickTop="1" x14ac:dyDescent="0.2">
      <c r="A525" s="139" t="s">
        <v>63</v>
      </c>
      <c r="B525" s="107">
        <v>21</v>
      </c>
      <c r="C525" s="195">
        <v>4</v>
      </c>
      <c r="D525" s="196" t="s">
        <v>432</v>
      </c>
      <c r="E525" s="195"/>
      <c r="F525" s="108">
        <f>SUM(F522:F524)</f>
        <v>537086.89</v>
      </c>
      <c r="G525" s="108">
        <f t="shared" ref="G525:L525" si="36">SUM(G522:G524)</f>
        <v>270973.25</v>
      </c>
      <c r="H525" s="108">
        <f t="shared" si="36"/>
        <v>244418.99</v>
      </c>
      <c r="I525" s="108">
        <f t="shared" si="36"/>
        <v>4544.88</v>
      </c>
      <c r="J525" s="108">
        <f t="shared" si="36"/>
        <v>108.76</v>
      </c>
      <c r="K525" s="108">
        <f t="shared" si="36"/>
        <v>0</v>
      </c>
      <c r="L525" s="89">
        <f t="shared" si="36"/>
        <v>1057132.77</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v>99294.41</v>
      </c>
      <c r="I527" s="18"/>
      <c r="J527" s="18"/>
      <c r="K527" s="18"/>
      <c r="L527" s="88">
        <f>SUM(F527:K527)</f>
        <v>99294.41</v>
      </c>
      <c r="M527" s="8"/>
      <c r="N527" s="264"/>
    </row>
    <row r="528" spans="1:14" s="3" customFormat="1" ht="12.2" customHeight="1" x14ac:dyDescent="0.15">
      <c r="A528" s="22" t="s">
        <v>634</v>
      </c>
      <c r="B528" s="105">
        <v>21</v>
      </c>
      <c r="C528" s="115">
        <v>6</v>
      </c>
      <c r="D528" s="2" t="s">
        <v>432</v>
      </c>
      <c r="E528" s="115"/>
      <c r="F528" s="18"/>
      <c r="G528" s="18"/>
      <c r="H528" s="18">
        <v>47283.54</v>
      </c>
      <c r="I528" s="18"/>
      <c r="J528" s="18"/>
      <c r="K528" s="18"/>
      <c r="L528" s="88">
        <f>SUM(F528:K528)</f>
        <v>47283.54</v>
      </c>
      <c r="M528" s="8"/>
      <c r="N528" s="264"/>
    </row>
    <row r="529" spans="1:14" s="3" customFormat="1" ht="12.2" customHeight="1" thickBot="1" x14ac:dyDescent="0.2">
      <c r="A529" s="22" t="s">
        <v>635</v>
      </c>
      <c r="B529" s="118">
        <v>21</v>
      </c>
      <c r="C529" s="118">
        <v>7</v>
      </c>
      <c r="D529" s="2" t="s">
        <v>432</v>
      </c>
      <c r="E529" s="118"/>
      <c r="F529" s="18"/>
      <c r="G529" s="18"/>
      <c r="H529" s="18">
        <v>87170.52</v>
      </c>
      <c r="I529" s="18"/>
      <c r="J529" s="18"/>
      <c r="K529" s="18"/>
      <c r="L529" s="88">
        <f>SUM(F529:K529)</f>
        <v>87170.52</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233748.47000000003</v>
      </c>
      <c r="I530" s="89">
        <f t="shared" si="37"/>
        <v>0</v>
      </c>
      <c r="J530" s="89">
        <f t="shared" si="37"/>
        <v>0</v>
      </c>
      <c r="K530" s="89">
        <f t="shared" si="37"/>
        <v>0</v>
      </c>
      <c r="L530" s="89">
        <f t="shared" si="37"/>
        <v>233748.47000000003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5811.99</v>
      </c>
      <c r="I542" s="18"/>
      <c r="J542" s="18"/>
      <c r="K542" s="18"/>
      <c r="L542" s="88">
        <f>SUM(F542:K542)</f>
        <v>5811.99</v>
      </c>
      <c r="M542" s="8"/>
      <c r="N542" s="264"/>
    </row>
    <row r="543" spans="1:14" s="3" customFormat="1" ht="12.2" customHeight="1" x14ac:dyDescent="0.15">
      <c r="A543" s="22" t="s">
        <v>634</v>
      </c>
      <c r="B543" s="105">
        <v>21</v>
      </c>
      <c r="C543" s="105">
        <v>18</v>
      </c>
      <c r="D543" s="2" t="s">
        <v>432</v>
      </c>
      <c r="E543" s="105"/>
      <c r="F543" s="18"/>
      <c r="G543" s="18"/>
      <c r="H543" s="18">
        <v>2324.7800000000002</v>
      </c>
      <c r="I543" s="18"/>
      <c r="J543" s="18"/>
      <c r="K543" s="18"/>
      <c r="L543" s="88">
        <f>SUM(F543:K543)</f>
        <v>2324.7800000000002</v>
      </c>
      <c r="M543" s="8"/>
      <c r="N543" s="264"/>
    </row>
    <row r="544" spans="1:14" s="3" customFormat="1" ht="12.2" customHeight="1" thickBot="1" x14ac:dyDescent="0.2">
      <c r="A544" s="22" t="s">
        <v>635</v>
      </c>
      <c r="B544" s="105">
        <v>21</v>
      </c>
      <c r="C544" s="105">
        <v>19</v>
      </c>
      <c r="D544" s="2" t="s">
        <v>432</v>
      </c>
      <c r="E544" s="105"/>
      <c r="F544" s="18"/>
      <c r="G544" s="18"/>
      <c r="H544" s="18">
        <v>8487.19</v>
      </c>
      <c r="I544" s="18"/>
      <c r="J544" s="18"/>
      <c r="K544" s="18"/>
      <c r="L544" s="88">
        <f>SUM(F544:K544)</f>
        <v>8487.19</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16623.96</v>
      </c>
      <c r="I545" s="193">
        <f t="shared" si="40"/>
        <v>0</v>
      </c>
      <c r="J545" s="193">
        <f t="shared" si="40"/>
        <v>0</v>
      </c>
      <c r="K545" s="193">
        <f t="shared" si="40"/>
        <v>0</v>
      </c>
      <c r="L545" s="193">
        <f t="shared" si="40"/>
        <v>16623.96</v>
      </c>
      <c r="M545" s="8"/>
      <c r="N545" s="264"/>
    </row>
    <row r="546" spans="1:14" s="3" customFormat="1" ht="12.2" customHeight="1" thickTop="1" x14ac:dyDescent="0.15">
      <c r="A546" s="98" t="s">
        <v>72</v>
      </c>
      <c r="B546" s="107">
        <v>21</v>
      </c>
      <c r="C546" s="107">
        <v>21</v>
      </c>
      <c r="D546" s="158" t="s">
        <v>432</v>
      </c>
      <c r="E546" s="107"/>
      <c r="F546" s="89">
        <f>F525+F530+F535+F540+F545</f>
        <v>537086.89</v>
      </c>
      <c r="G546" s="89">
        <f t="shared" ref="G546:L546" si="41">G525+G530+G535+G540+G545</f>
        <v>270973.25</v>
      </c>
      <c r="H546" s="89">
        <f t="shared" si="41"/>
        <v>494791.42000000004</v>
      </c>
      <c r="I546" s="89">
        <f t="shared" si="41"/>
        <v>4544.88</v>
      </c>
      <c r="J546" s="89">
        <f t="shared" si="41"/>
        <v>108.76</v>
      </c>
      <c r="K546" s="89">
        <f t="shared" si="41"/>
        <v>0</v>
      </c>
      <c r="L546" s="89">
        <f t="shared" si="41"/>
        <v>1307505.2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565447.82999999996</v>
      </c>
      <c r="G550" s="87">
        <f>L527</f>
        <v>99294.41</v>
      </c>
      <c r="H550" s="87">
        <f>L532</f>
        <v>0</v>
      </c>
      <c r="I550" s="87">
        <f>L537</f>
        <v>0</v>
      </c>
      <c r="J550" s="87">
        <f>L542</f>
        <v>5811.99</v>
      </c>
      <c r="K550" s="87">
        <f>SUM(F550:J550)</f>
        <v>670554.23</v>
      </c>
      <c r="L550" s="24" t="s">
        <v>288</v>
      </c>
      <c r="M550" s="8"/>
      <c r="N550" s="264"/>
    </row>
    <row r="551" spans="1:14" s="3" customFormat="1" ht="12.2" customHeight="1" x14ac:dyDescent="0.15">
      <c r="A551" s="22" t="s">
        <v>634</v>
      </c>
      <c r="B551" s="75">
        <v>21</v>
      </c>
      <c r="C551" s="75">
        <v>23</v>
      </c>
      <c r="D551" s="2" t="s">
        <v>432</v>
      </c>
      <c r="E551" s="75"/>
      <c r="F551" s="87">
        <f>L523</f>
        <v>252528.42</v>
      </c>
      <c r="G551" s="87">
        <f>L528</f>
        <v>47283.54</v>
      </c>
      <c r="H551" s="87">
        <f>L533</f>
        <v>0</v>
      </c>
      <c r="I551" s="87">
        <f>L538</f>
        <v>0</v>
      </c>
      <c r="J551" s="87">
        <f>L543</f>
        <v>2324.7800000000002</v>
      </c>
      <c r="K551" s="87">
        <f>SUM(F551:J551)</f>
        <v>302136.74000000005</v>
      </c>
      <c r="L551" s="24" t="s">
        <v>288</v>
      </c>
      <c r="M551" s="8"/>
      <c r="N551" s="264"/>
    </row>
    <row r="552" spans="1:14" s="3" customFormat="1" ht="12.2" customHeight="1" thickBot="1" x14ac:dyDescent="0.2">
      <c r="A552" s="22" t="s">
        <v>635</v>
      </c>
      <c r="B552" s="75">
        <v>21</v>
      </c>
      <c r="C552" s="75">
        <v>24</v>
      </c>
      <c r="D552" s="2" t="s">
        <v>432</v>
      </c>
      <c r="E552" s="75"/>
      <c r="F552" s="87">
        <f>L524</f>
        <v>239156.52</v>
      </c>
      <c r="G552" s="87">
        <f>L529</f>
        <v>87170.52</v>
      </c>
      <c r="H552" s="87">
        <f>L534</f>
        <v>0</v>
      </c>
      <c r="I552" s="87">
        <f>L539</f>
        <v>0</v>
      </c>
      <c r="J552" s="87">
        <f>L544</f>
        <v>8487.19</v>
      </c>
      <c r="K552" s="87">
        <f>SUM(F552:J552)</f>
        <v>334814.23</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1057132.77</v>
      </c>
      <c r="G553" s="89">
        <f t="shared" si="42"/>
        <v>233748.47000000003</v>
      </c>
      <c r="H553" s="89">
        <f t="shared" si="42"/>
        <v>0</v>
      </c>
      <c r="I553" s="89">
        <f t="shared" si="42"/>
        <v>0</v>
      </c>
      <c r="J553" s="89">
        <f t="shared" si="42"/>
        <v>16623.96</v>
      </c>
      <c r="K553" s="89">
        <f t="shared" si="42"/>
        <v>1307505.2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f>20000+1250+749.9</f>
        <v>21999.9</v>
      </c>
      <c r="G580" s="18"/>
      <c r="H580" s="18"/>
      <c r="I580" s="87">
        <f t="shared" si="47"/>
        <v>21999.9</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51877.64</v>
      </c>
      <c r="G583" s="18">
        <f>78109.8</f>
        <v>78109.8</v>
      </c>
      <c r="H583" s="18">
        <f>69802.37+10175</f>
        <v>79977.37</v>
      </c>
      <c r="I583" s="87">
        <f t="shared" si="47"/>
        <v>209964.81</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58075.199999999997</v>
      </c>
      <c r="I585" s="87">
        <f t="shared" si="47"/>
        <v>58075.199999999997</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65283.27</v>
      </c>
      <c r="I592" s="18">
        <v>26113.31</v>
      </c>
      <c r="J592" s="18">
        <v>39169.949999999997</v>
      </c>
      <c r="K592" s="104">
        <f t="shared" ref="K592:K598" si="48">SUM(H592:J592)</f>
        <v>130566.53</v>
      </c>
      <c r="L592" s="24" t="s">
        <v>288</v>
      </c>
      <c r="M592" s="8"/>
      <c r="N592" s="264"/>
    </row>
    <row r="593" spans="1:14" s="3" customFormat="1" ht="12.2" customHeight="1" x14ac:dyDescent="0.15">
      <c r="A593" s="3" t="s">
        <v>638</v>
      </c>
      <c r="B593" s="75">
        <v>23</v>
      </c>
      <c r="C593" s="75">
        <v>2</v>
      </c>
      <c r="D593" s="2" t="s">
        <v>432</v>
      </c>
      <c r="E593" s="75"/>
      <c r="F593" s="102">
        <v>2722</v>
      </c>
      <c r="G593" s="103" t="s">
        <v>97</v>
      </c>
      <c r="H593" s="18">
        <v>5811.98</v>
      </c>
      <c r="I593" s="18">
        <v>2324.79</v>
      </c>
      <c r="J593" s="18">
        <v>3487.19</v>
      </c>
      <c r="K593" s="104">
        <f t="shared" si="48"/>
        <v>11623.96</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30334.6</v>
      </c>
      <c r="K594" s="104">
        <f t="shared" si="48"/>
        <v>30334.6</v>
      </c>
      <c r="L594" s="24" t="s">
        <v>288</v>
      </c>
      <c r="M594" s="8"/>
      <c r="N594" s="264"/>
    </row>
    <row r="595" spans="1:14" s="3" customFormat="1" ht="12.2" customHeight="1" x14ac:dyDescent="0.15">
      <c r="A595" s="22" t="s">
        <v>640</v>
      </c>
      <c r="B595" s="75">
        <v>23</v>
      </c>
      <c r="C595" s="75">
        <v>4</v>
      </c>
      <c r="D595" s="2" t="s">
        <v>432</v>
      </c>
      <c r="E595" s="75"/>
      <c r="F595" s="102">
        <v>2724</v>
      </c>
      <c r="G595" s="103" t="s">
        <v>97</v>
      </c>
      <c r="H595" s="18">
        <f>20150</f>
        <v>20150</v>
      </c>
      <c r="I595" s="18">
        <f>5860.25+8060</f>
        <v>13920.25</v>
      </c>
      <c r="J595" s="18">
        <f>9978.26+32154</f>
        <v>42132.26</v>
      </c>
      <c r="K595" s="104">
        <f t="shared" si="48"/>
        <v>76202.510000000009</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v>1278.28</v>
      </c>
      <c r="J596" s="18">
        <v>3700</v>
      </c>
      <c r="K596" s="104">
        <f t="shared" si="48"/>
        <v>4978.28</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91245.25</v>
      </c>
      <c r="I599" s="108">
        <f>SUM(I592:I598)</f>
        <v>43636.630000000005</v>
      </c>
      <c r="J599" s="108">
        <f>SUM(J592:J598)</f>
        <v>118824</v>
      </c>
      <c r="K599" s="108">
        <f>SUM(K592:K598)</f>
        <v>253705.88</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82794.34+94539.79</f>
        <v>177334.13</v>
      </c>
      <c r="I605" s="18">
        <f>51988.27+7863.17</f>
        <v>59851.439999999995</v>
      </c>
      <c r="J605" s="18">
        <f>118160.66+11022.21</f>
        <v>129182.87</v>
      </c>
      <c r="K605" s="104">
        <f>SUM(H605:J605)</f>
        <v>366368.44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177334.13</v>
      </c>
      <c r="I606" s="108">
        <f>SUM(I603:I605)</f>
        <v>59851.439999999995</v>
      </c>
      <c r="J606" s="108">
        <f>SUM(J603:J605)</f>
        <v>129182.87</v>
      </c>
      <c r="K606" s="108">
        <f>SUM(K603:K605)</f>
        <v>366368.44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535619.43000000005</v>
      </c>
      <c r="H618" s="109">
        <f>SUM(F52)</f>
        <v>535619.42999999993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31707.91</v>
      </c>
      <c r="H619" s="109">
        <f>SUM(G52)</f>
        <v>31707.91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192400.26</v>
      </c>
      <c r="H620" s="109">
        <f>SUM(H52)</f>
        <v>192400.25999999998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510811.33</v>
      </c>
      <c r="H622" s="109">
        <f>SUM(J52)</f>
        <v>510811.33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296540.36</v>
      </c>
      <c r="H623" s="109">
        <f>F477</f>
        <v>296540.36000000034</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14841.46</v>
      </c>
      <c r="H624" s="109">
        <f>G477</f>
        <v>14841.460000000006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510811.33</v>
      </c>
      <c r="H627" s="109">
        <f>J477</f>
        <v>510811.33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7075636.4100000001</v>
      </c>
      <c r="H628" s="104">
        <f>SUM(F469)</f>
        <v>7075636.4100000001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116195.54</v>
      </c>
      <c r="H629" s="104">
        <f>SUM(G469)</f>
        <v>116195.54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640350.63000000012</v>
      </c>
      <c r="H630" s="104">
        <f>SUM(H469)</f>
        <v>640350.63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388227.39</v>
      </c>
      <c r="H632" s="104">
        <f>SUM(J469)</f>
        <v>388227.39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6980895.4699999997</v>
      </c>
      <c r="H633" s="104">
        <f>SUM(F473)</f>
        <v>6980895.4699999997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640350.63000000012</v>
      </c>
      <c r="H634" s="104">
        <f>SUM(H473)</f>
        <v>640350.63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166.34</v>
      </c>
      <c r="H635" s="104">
        <f>I370</f>
        <v>166.34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116195.54000000001</v>
      </c>
      <c r="H636" s="104">
        <f>SUM(G473)</f>
        <v>116195.54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388227.38999999996</v>
      </c>
      <c r="H638" s="164">
        <f>SUM(J469)</f>
        <v>388227.39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75055.679999999993</v>
      </c>
      <c r="H639" s="164">
        <f>SUM(J473)</f>
        <v>75055.679999999993</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510811.33</v>
      </c>
      <c r="H641" s="104">
        <f>SUM(G462)</f>
        <v>510811.33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510811.33</v>
      </c>
      <c r="H643" s="104">
        <f>SUM(I462)</f>
        <v>510811.33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318.39000000000004</v>
      </c>
      <c r="H645" s="104">
        <f>H409</f>
        <v>318.39000000000004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387909</v>
      </c>
      <c r="H646" s="104">
        <f>G409</f>
        <v>387909</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388227.39</v>
      </c>
      <c r="H647" s="104">
        <f>L409</f>
        <v>388227.38999999996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253705.88</v>
      </c>
      <c r="H648" s="104">
        <f>L209+L227+L245</f>
        <v>253705.88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366368.44</v>
      </c>
      <c r="H649" s="104">
        <f>(J258+J339)-(J256+J337)</f>
        <v>366368.44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91245.25</v>
      </c>
      <c r="H650" s="104">
        <f>H599</f>
        <v>91245.25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43636.63</v>
      </c>
      <c r="H651" s="104">
        <f>I599</f>
        <v>43636.630000000005</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118824</v>
      </c>
      <c r="H652" s="104">
        <f>J599</f>
        <v>118824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53.55</v>
      </c>
      <c r="H653" s="104">
        <f>K264+K346</f>
        <v>53.55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387909</v>
      </c>
      <c r="H656" s="104">
        <f>K267+K348</f>
        <v>387909</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3415289.3499999996</v>
      </c>
      <c r="G661" s="19">
        <f>(L230+L310+L360)</f>
        <v>1431309.8300000003</v>
      </c>
      <c r="H661" s="19">
        <f>(L248+L329+L361)</f>
        <v>2384747.2999999998</v>
      </c>
      <c r="I661" s="19">
        <f>SUM(F661:H661)</f>
        <v>7231346.4799999995</v>
      </c>
      <c r="J661" s="13"/>
      <c r="K661" s="13"/>
      <c r="L661" s="13"/>
      <c r="M661" s="9"/>
    </row>
    <row r="662" spans="1:13" s="3" customFormat="1" ht="12.2" customHeight="1" x14ac:dyDescent="0.2">
      <c r="A662" s="1" t="s">
        <v>127</v>
      </c>
      <c r="F662" s="19">
        <f>(L359/IF(SUM(L359:L361)=0,1,SUM(L359:L361))*(SUM(G97:G110)))</f>
        <v>4995.2424206006526</v>
      </c>
      <c r="G662" s="19">
        <f>(L360/IF(SUM(L359:L361)=0,1,SUM(L359:L361))*(SUM(G97:G110)))</f>
        <v>1998.0981719599563</v>
      </c>
      <c r="H662" s="19">
        <f>(L361/IF(SUM(L359:L361)=0,1,SUM(L359:L361))*(SUM(G97:G110)))</f>
        <v>2997.1494074393904</v>
      </c>
      <c r="I662" s="19">
        <f>SUM(F662:H662)</f>
        <v>9990.49</v>
      </c>
      <c r="J662"/>
      <c r="K662" s="13"/>
      <c r="L662" s="13"/>
      <c r="M662" s="8"/>
    </row>
    <row r="663" spans="1:13" s="3" customFormat="1" ht="12.2" customHeight="1" x14ac:dyDescent="0.2">
      <c r="A663" s="1" t="s">
        <v>128</v>
      </c>
      <c r="F663" s="19">
        <f>(L209+L288)-(J209+J288)</f>
        <v>87695.37</v>
      </c>
      <c r="G663" s="19">
        <f>(L227+L307)-(J227+J307)</f>
        <v>35576.629999999997</v>
      </c>
      <c r="H663" s="19">
        <f>(L245+L326)-(J245+J326)</f>
        <v>86670</v>
      </c>
      <c r="I663" s="19">
        <f>SUM(F663:H663)</f>
        <v>209942</v>
      </c>
      <c r="J663"/>
      <c r="K663" s="13"/>
      <c r="L663" s="13"/>
      <c r="M663" s="9"/>
    </row>
    <row r="664" spans="1:13" s="3" customFormat="1" ht="12.2" customHeight="1" x14ac:dyDescent="0.15">
      <c r="A664" s="198" t="s">
        <v>129</v>
      </c>
      <c r="B664" s="169"/>
      <c r="C664" s="169"/>
      <c r="D664" s="169"/>
      <c r="E664" s="169"/>
      <c r="F664" s="199">
        <f>SUM(F576:F588)+SUM(H603:H605)+SUM(L612)</f>
        <v>251211.67</v>
      </c>
      <c r="G664" s="199">
        <f>SUM(G576:G588)+SUM(I603:I605)+L613</f>
        <v>137961.24</v>
      </c>
      <c r="H664" s="199">
        <f>SUM(H576:H588)+SUM(J603:J605)+L614</f>
        <v>267235.44</v>
      </c>
      <c r="I664" s="19">
        <f>SUM(F664:H664)</f>
        <v>656408.35000000009</v>
      </c>
      <c r="J664" s="13"/>
      <c r="K664" s="13"/>
      <c r="L664" s="13"/>
      <c r="M664" s="9"/>
    </row>
    <row r="665" spans="1:13" s="3" customFormat="1" ht="12.2" customHeight="1" x14ac:dyDescent="0.15">
      <c r="A665" s="1" t="s">
        <v>130</v>
      </c>
      <c r="F665" s="19">
        <f>F661-SUM(F662:F664)</f>
        <v>3071387.0675793989</v>
      </c>
      <c r="G665" s="19">
        <f>G661-SUM(G662:G664)</f>
        <v>1255773.8618280403</v>
      </c>
      <c r="H665" s="19">
        <f>H661-SUM(H662:H664)</f>
        <v>2027844.7105925605</v>
      </c>
      <c r="I665" s="19">
        <f>I661-SUM(I662:I664)</f>
        <v>6355005.6399999997</v>
      </c>
      <c r="J665" s="13"/>
      <c r="K665" s="13"/>
      <c r="L665" s="13"/>
      <c r="M665" s="8"/>
    </row>
    <row r="666" spans="1:13" s="3" customFormat="1" ht="12.2" customHeight="1" x14ac:dyDescent="0.25">
      <c r="A666" s="1" t="s">
        <v>131</v>
      </c>
      <c r="F666" s="359">
        <v>155.94999999999999</v>
      </c>
      <c r="G666" s="359">
        <v>53.97</v>
      </c>
      <c r="H666" s="359">
        <v>93.8</v>
      </c>
      <c r="I666" s="19">
        <f>SUM(F666:H666)</f>
        <v>303.71999999999997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19694.689999999999</v>
      </c>
      <c r="G668" s="19">
        <f>ROUND(G665/G666,2)</f>
        <v>23268</v>
      </c>
      <c r="H668" s="19">
        <f>ROUND(H665/H666,2)</f>
        <v>21618.81</v>
      </c>
      <c r="I668" s="19">
        <f>ROUND(I665/I666,2)</f>
        <v>20923.900000000001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-12.33</v>
      </c>
      <c r="I671" s="19">
        <f>SUM(F671:H671)</f>
        <v>-12.33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19694.689999999999</v>
      </c>
      <c r="G673" s="19">
        <f>ROUND((G665+G670)/(G666+G671),2)</f>
        <v>23268</v>
      </c>
      <c r="H673" s="19">
        <f>ROUND((H665+H670)/(H666+H671),2)</f>
        <v>24890.69</v>
      </c>
      <c r="I673" s="19">
        <f>ROUND((I665+I670)/(I666+I671),2)</f>
        <v>21809.279999999999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3" zoomScaleNormal="100" workbookViewId="0">
      <selection activeCell="C33" sqref="C33"/>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'DOE25'!F162+'DOE25'!G162+'DOE25'!H162</f>
        <v>140454.54999999999</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60600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112323.37</v>
      </c>
      <c r="F22" s="346"/>
    </row>
    <row r="23" spans="2:8" x14ac:dyDescent="0.25">
      <c r="B23" s="346"/>
      <c r="C23" s="346"/>
      <c r="D23" s="346"/>
      <c r="E23" s="346"/>
      <c r="F23" s="346"/>
    </row>
    <row r="24" spans="2:8" ht="26.25" customHeight="1" x14ac:dyDescent="0.25">
      <c r="B24" s="346"/>
      <c r="C24" s="348" t="s">
        <v>1661</v>
      </c>
      <c r="D24" s="346"/>
      <c r="E24" s="341">
        <f>48488.65+16600.12</f>
        <v>65088.770000000004</v>
      </c>
      <c r="F24" s="346"/>
    </row>
    <row r="25" spans="2:8" ht="18" x14ac:dyDescent="0.25">
      <c r="B25" s="346"/>
      <c r="C25" s="349"/>
      <c r="D25" s="346"/>
      <c r="E25" s="346"/>
      <c r="F25" s="346"/>
    </row>
    <row r="26" spans="2:8" ht="27.75" customHeight="1" x14ac:dyDescent="0.25">
      <c r="B26" s="346"/>
      <c r="C26" s="348" t="s">
        <v>1662</v>
      </c>
      <c r="D26" s="346"/>
      <c r="E26" s="341">
        <v>47234.6</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88731.18</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Lisbon Regional School</v>
      </c>
      <c r="C5" s="363"/>
      <c r="D5" s="363"/>
      <c r="E5" s="363"/>
      <c r="F5" s="363"/>
    </row>
    <row r="8" spans="1:9" ht="18" x14ac:dyDescent="0.25">
      <c r="A8" s="317" t="s">
        <v>1576</v>
      </c>
      <c r="F8" s="324" t="s">
        <v>1594</v>
      </c>
    </row>
    <row r="9" spans="1:9" ht="15" x14ac:dyDescent="0.2">
      <c r="A9" s="315" t="s">
        <v>1577</v>
      </c>
      <c r="B9" s="318">
        <f>'DOE25'!G97</f>
        <v>9990.49</v>
      </c>
      <c r="F9" s="315" t="s">
        <v>1590</v>
      </c>
    </row>
    <row r="10" spans="1:9" ht="15" x14ac:dyDescent="0.2">
      <c r="A10" s="315" t="s">
        <v>1578</v>
      </c>
      <c r="B10" s="318">
        <f>'DOE25'!G112-'DOE25'!G97</f>
        <v>0.63999999999941792</v>
      </c>
      <c r="F10" s="315" t="s">
        <v>1591</v>
      </c>
    </row>
    <row r="11" spans="1:9" ht="15" x14ac:dyDescent="0.2">
      <c r="A11" s="315" t="s">
        <v>1579</v>
      </c>
      <c r="B11" s="318">
        <f>'DOE25'!G140</f>
        <v>2853.13</v>
      </c>
      <c r="F11" s="315" t="s">
        <v>1592</v>
      </c>
    </row>
    <row r="12" spans="1:9" ht="15" x14ac:dyDescent="0.2">
      <c r="A12" s="315" t="s">
        <v>1580</v>
      </c>
      <c r="B12" s="318">
        <f>'DOE25'!G170</f>
        <v>103297.73</v>
      </c>
      <c r="F12" s="315" t="s">
        <v>1593</v>
      </c>
    </row>
    <row r="13" spans="1:9" ht="15" x14ac:dyDescent="0.2">
      <c r="A13" s="315" t="s">
        <v>1581</v>
      </c>
      <c r="B13" s="318">
        <f>'DOE25'!G193-'DOE25'!G180</f>
        <v>0</v>
      </c>
      <c r="F13" s="315" t="s">
        <v>1603</v>
      </c>
    </row>
    <row r="14" spans="1:9" ht="18" x14ac:dyDescent="0.25">
      <c r="A14" s="317" t="s">
        <v>732</v>
      </c>
      <c r="B14" s="319">
        <f>SUM(B9:B13)</f>
        <v>116141.98999999999</v>
      </c>
    </row>
    <row r="16" spans="1:9" ht="18" x14ac:dyDescent="0.25">
      <c r="A16" s="317" t="s">
        <v>786</v>
      </c>
      <c r="F16" s="324" t="s">
        <v>1595</v>
      </c>
    </row>
    <row r="17" spans="1:6" ht="15" x14ac:dyDescent="0.2">
      <c r="A17" s="315" t="s">
        <v>1582</v>
      </c>
      <c r="B17" s="318">
        <f>'DOE25'!L363-'DOE25'!L362</f>
        <v>116195.54000000001</v>
      </c>
      <c r="F17" s="315" t="s">
        <v>1596</v>
      </c>
    </row>
    <row r="18" spans="1:6" ht="15" x14ac:dyDescent="0.2">
      <c r="A18" s="315" t="s">
        <v>1583</v>
      </c>
      <c r="B18" s="328">
        <v>0</v>
      </c>
      <c r="F18" s="324" t="s">
        <v>1620</v>
      </c>
    </row>
    <row r="19" spans="1:6" ht="18" x14ac:dyDescent="0.25">
      <c r="A19" s="317" t="s">
        <v>725</v>
      </c>
      <c r="B19" s="319">
        <f>SUM(B17:B18)</f>
        <v>116195.54000000001</v>
      </c>
    </row>
    <row r="21" spans="1:6" ht="18.75" thickBot="1" x14ac:dyDescent="0.3">
      <c r="A21" s="317" t="s">
        <v>1584</v>
      </c>
    </row>
    <row r="22" spans="1:6" ht="18.75" thickTop="1" x14ac:dyDescent="0.25">
      <c r="A22" s="317" t="s">
        <v>1585</v>
      </c>
      <c r="B22" s="323">
        <f>B14-B19</f>
        <v>-53.550000000017462</v>
      </c>
      <c r="F22" s="315" t="s">
        <v>1597</v>
      </c>
    </row>
    <row r="26" spans="1:6" ht="18" x14ac:dyDescent="0.25">
      <c r="A26" s="317" t="s">
        <v>186</v>
      </c>
    </row>
    <row r="27" spans="1:6" ht="15" x14ac:dyDescent="0.2">
      <c r="A27" s="315" t="s">
        <v>1586</v>
      </c>
      <c r="B27" s="318">
        <f>'DOE25'!G180</f>
        <v>53.55</v>
      </c>
      <c r="F27" s="315" t="s">
        <v>1598</v>
      </c>
    </row>
    <row r="28" spans="1:6" ht="15" x14ac:dyDescent="0.2">
      <c r="A28" s="315" t="s">
        <v>1588</v>
      </c>
      <c r="B28" s="318">
        <f>'DOE25'!L362</f>
        <v>0</v>
      </c>
      <c r="F28" s="315" t="s">
        <v>1599</v>
      </c>
    </row>
    <row r="31" spans="1:6" ht="15" x14ac:dyDescent="0.2">
      <c r="A31" s="315" t="s">
        <v>1628</v>
      </c>
      <c r="B31" s="318">
        <f>'DOE25'!G466</f>
        <v>14841.46</v>
      </c>
      <c r="F31" s="315" t="s">
        <v>1600</v>
      </c>
    </row>
    <row r="33" spans="1:6" ht="15" x14ac:dyDescent="0.2">
      <c r="A33" s="315" t="s">
        <v>1629</v>
      </c>
      <c r="B33" s="318">
        <f>'DOE25'!G477</f>
        <v>14841.460000000006</v>
      </c>
      <c r="F33" s="315" t="s">
        <v>1601</v>
      </c>
    </row>
    <row r="36" spans="1:6" ht="15" x14ac:dyDescent="0.2">
      <c r="A36" s="315" t="s">
        <v>1587</v>
      </c>
      <c r="B36" s="329">
        <v>8425.9</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Lisbon Regional School</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1995803.5700000003</v>
      </c>
      <c r="C9" s="229">
        <f>'DOE25'!G198+'DOE25'!G216+'DOE25'!G234+'DOE25'!G277+'DOE25'!G296+'DOE25'!G315</f>
        <v>867124.32000000007</v>
      </c>
    </row>
    <row r="10" spans="1:3" x14ac:dyDescent="0.2">
      <c r="A10" t="s">
        <v>775</v>
      </c>
      <c r="B10" s="240">
        <v>1909349.91</v>
      </c>
      <c r="C10" s="240">
        <v>829278.18</v>
      </c>
    </row>
    <row r="11" spans="1:3" x14ac:dyDescent="0.2">
      <c r="A11" t="s">
        <v>776</v>
      </c>
      <c r="B11" s="240">
        <v>57468.24</v>
      </c>
      <c r="C11" s="240">
        <v>25157.42</v>
      </c>
    </row>
    <row r="12" spans="1:3" x14ac:dyDescent="0.2">
      <c r="A12" t="s">
        <v>777</v>
      </c>
      <c r="B12" s="240">
        <v>28985.42</v>
      </c>
      <c r="C12" s="240">
        <v>12688.72</v>
      </c>
    </row>
    <row r="13" spans="1:3" x14ac:dyDescent="0.2">
      <c r="A13" t="str">
        <f>IF(B9=B13,IF(C9=C13,"Check Total OK","Check Total Error"),"Check Total Error")</f>
        <v>Check Total OK</v>
      </c>
      <c r="B13" s="231">
        <f>SUM(B10:B12)</f>
        <v>1995803.5699999998</v>
      </c>
      <c r="C13" s="231">
        <f>SUM(C10:C12)</f>
        <v>867124.32000000007</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539104.13</v>
      </c>
      <c r="C18" s="229">
        <f>'DOE25'!G199+'DOE25'!G217+'DOE25'!G235+'DOE25'!G278+'DOE25'!G297+'DOE25'!G316</f>
        <v>271387.62</v>
      </c>
    </row>
    <row r="19" spans="1:3" x14ac:dyDescent="0.2">
      <c r="A19" t="s">
        <v>775</v>
      </c>
      <c r="B19" s="240">
        <v>300980.06</v>
      </c>
      <c r="C19" s="240">
        <v>151851.68</v>
      </c>
    </row>
    <row r="20" spans="1:3" x14ac:dyDescent="0.2">
      <c r="A20" t="s">
        <v>776</v>
      </c>
      <c r="B20" s="240">
        <v>234966.83</v>
      </c>
      <c r="C20" s="240">
        <v>118546.41</v>
      </c>
    </row>
    <row r="21" spans="1:3" x14ac:dyDescent="0.2">
      <c r="A21" t="s">
        <v>777</v>
      </c>
      <c r="B21" s="240">
        <v>3157.24</v>
      </c>
      <c r="C21" s="240">
        <v>989.53</v>
      </c>
    </row>
    <row r="22" spans="1:3" x14ac:dyDescent="0.2">
      <c r="A22" t="str">
        <f>IF(B18=B22,IF(C18=C22,"Check Total OK","Check Total Error"),"Check Total Error")</f>
        <v>Check Total OK</v>
      </c>
      <c r="B22" s="231">
        <f>SUM(B19:B21)</f>
        <v>539104.13</v>
      </c>
      <c r="C22" s="231">
        <f>SUM(C19:C21)</f>
        <v>271387.62</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158626.5</v>
      </c>
      <c r="C27" s="234">
        <f>'DOE25'!G200+'DOE25'!G218+'DOE25'!G236+'DOE25'!G279+'DOE25'!G298+'DOE25'!G317</f>
        <v>52604.5</v>
      </c>
    </row>
    <row r="28" spans="1:3" x14ac:dyDescent="0.2">
      <c r="A28" t="s">
        <v>775</v>
      </c>
      <c r="B28" s="240">
        <v>158626.5</v>
      </c>
      <c r="C28" s="240">
        <v>52604.5</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158626.5</v>
      </c>
      <c r="C31" s="231">
        <f>SUM(C28:C30)</f>
        <v>52604.5</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69340.100000000006</v>
      </c>
      <c r="C36" s="235">
        <f>'DOE25'!G201+'DOE25'!G219+'DOE25'!G237+'DOE25'!G280+'DOE25'!G299+'DOE25'!G318</f>
        <v>14266.27</v>
      </c>
    </row>
    <row r="37" spans="1:3" x14ac:dyDescent="0.2">
      <c r="A37" t="s">
        <v>775</v>
      </c>
      <c r="B37" s="240">
        <v>69340.100000000006</v>
      </c>
      <c r="C37" s="240">
        <v>14266.27</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69340.100000000006</v>
      </c>
      <c r="C40" s="231">
        <f>SUM(C37:C39)</f>
        <v>14266.27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14" activePane="bottomLeft" state="frozen"/>
      <selection activeCell="F46" sqref="F46"/>
      <selection pane="bottomLeft" activeCell="F40" sqref="F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Lisbon Regional School</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4241577.2200000007</v>
      </c>
      <c r="D5" s="20">
        <f>SUM('DOE25'!L198:L201)+SUM('DOE25'!L216:L219)+SUM('DOE25'!L234:L237)-F5-G5-H5</f>
        <v>4201481.2700000005</v>
      </c>
      <c r="E5" s="243"/>
      <c r="F5" s="244"/>
      <c r="G5" s="53">
        <f>SUM('DOE25'!J198:J201)+SUM('DOE25'!J216:J219)+SUM('DOE25'!J234:J237)</f>
        <v>34859.449999999997</v>
      </c>
      <c r="H5" s="53">
        <f>SUM('DOE25'!K198:K201)+SUM('DOE25'!K216:K219)+SUM('DOE25'!K234:K237)</f>
        <v>5236.5</v>
      </c>
      <c r="I5" s="254"/>
    </row>
    <row r="6" spans="1:9" x14ac:dyDescent="0.2">
      <c r="A6" s="32">
        <v>2100</v>
      </c>
      <c r="B6" t="s">
        <v>796</v>
      </c>
      <c r="C6" s="273">
        <f t="shared" si="0"/>
        <v>406045.68000000005</v>
      </c>
      <c r="D6" s="20">
        <f>'DOE25'!L203+'DOE25'!L221+'DOE25'!L239-F6-G6-H6</f>
        <v>406045.68000000005</v>
      </c>
      <c r="E6" s="243"/>
      <c r="F6" s="244"/>
      <c r="G6" s="53">
        <f>'DOE25'!J203+'DOE25'!J221+'DOE25'!J239</f>
        <v>0</v>
      </c>
      <c r="H6" s="53">
        <f>'DOE25'!K203+'DOE25'!K221+'DOE25'!K239</f>
        <v>0</v>
      </c>
      <c r="I6" s="254"/>
    </row>
    <row r="7" spans="1:9" x14ac:dyDescent="0.2">
      <c r="A7" s="32">
        <v>2200</v>
      </c>
      <c r="B7" t="s">
        <v>821</v>
      </c>
      <c r="C7" s="273">
        <f t="shared" si="0"/>
        <v>167457.92000000001</v>
      </c>
      <c r="D7" s="20">
        <f>'DOE25'!L204+'DOE25'!L222+'DOE25'!L240-F7-G7-H7</f>
        <v>124144.93000000002</v>
      </c>
      <c r="E7" s="243"/>
      <c r="F7" s="244"/>
      <c r="G7" s="53">
        <f>'DOE25'!J204+'DOE25'!J222+'DOE25'!J240</f>
        <v>0</v>
      </c>
      <c r="H7" s="53">
        <f>'DOE25'!K204+'DOE25'!K222+'DOE25'!K240</f>
        <v>43312.99</v>
      </c>
      <c r="I7" s="254"/>
    </row>
    <row r="8" spans="1:9" x14ac:dyDescent="0.2">
      <c r="A8" s="32">
        <v>2300</v>
      </c>
      <c r="B8" t="s">
        <v>797</v>
      </c>
      <c r="C8" s="273">
        <f t="shared" si="0"/>
        <v>183655.11999999997</v>
      </c>
      <c r="D8" s="243"/>
      <c r="E8" s="20">
        <f>'DOE25'!L205+'DOE25'!L223+'DOE25'!L241-F8-G8-H8-D9-D11</f>
        <v>160131.46999999997</v>
      </c>
      <c r="F8" s="244"/>
      <c r="G8" s="53">
        <f>'DOE25'!J205+'DOE25'!J223+'DOE25'!J241</f>
        <v>0</v>
      </c>
      <c r="H8" s="53">
        <f>'DOE25'!K205+'DOE25'!K223+'DOE25'!K241</f>
        <v>23523.65</v>
      </c>
      <c r="I8" s="254"/>
    </row>
    <row r="9" spans="1:9" ht="14.25" x14ac:dyDescent="0.2">
      <c r="A9" s="32">
        <v>2310</v>
      </c>
      <c r="B9" s="185" t="s">
        <v>888</v>
      </c>
      <c r="C9" s="273">
        <f t="shared" si="0"/>
        <v>68597.88</v>
      </c>
      <c r="D9" s="244">
        <v>68597.88</v>
      </c>
      <c r="E9" s="243"/>
      <c r="F9" s="251"/>
      <c r="G9" s="251"/>
      <c r="H9" s="251"/>
      <c r="I9" s="254"/>
    </row>
    <row r="10" spans="1:9" ht="14.25" x14ac:dyDescent="0.2">
      <c r="A10" s="32">
        <v>2317</v>
      </c>
      <c r="B10" s="185" t="s">
        <v>889</v>
      </c>
      <c r="C10" s="273">
        <f t="shared" si="0"/>
        <v>2452.25</v>
      </c>
      <c r="D10" s="243"/>
      <c r="E10" s="244">
        <v>2452.25</v>
      </c>
      <c r="F10" s="251"/>
      <c r="G10" s="251"/>
      <c r="H10" s="251"/>
      <c r="I10" s="254"/>
    </row>
    <row r="11" spans="1:9" ht="14.25" x14ac:dyDescent="0.2">
      <c r="A11" s="32">
        <v>2321</v>
      </c>
      <c r="B11" s="185" t="s">
        <v>890</v>
      </c>
      <c r="C11" s="273">
        <f t="shared" si="0"/>
        <v>62243.14</v>
      </c>
      <c r="D11" s="244">
        <v>62243.14</v>
      </c>
      <c r="E11" s="243"/>
      <c r="F11" s="251"/>
      <c r="G11" s="251"/>
      <c r="H11" s="251"/>
      <c r="I11" s="254"/>
    </row>
    <row r="12" spans="1:9" x14ac:dyDescent="0.2">
      <c r="A12" s="32">
        <v>2400</v>
      </c>
      <c r="B12" t="s">
        <v>711</v>
      </c>
      <c r="C12" s="273">
        <f t="shared" si="0"/>
        <v>314151.74000000005</v>
      </c>
      <c r="D12" s="20">
        <f>'DOE25'!L206+'DOE25'!L224+'DOE25'!L242-F12-G12-H12</f>
        <v>289809.89000000007</v>
      </c>
      <c r="E12" s="243"/>
      <c r="F12" s="244"/>
      <c r="G12" s="53">
        <f>'DOE25'!J206+'DOE25'!J224+'DOE25'!J242</f>
        <v>18222.73</v>
      </c>
      <c r="H12" s="53">
        <f>'DOE25'!K206+'DOE25'!K224+'DOE25'!K242</f>
        <v>6119.12</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580241.02</v>
      </c>
      <c r="D14" s="20">
        <f>'DOE25'!L208+'DOE25'!L226+'DOE25'!L244-F14-G14-H14</f>
        <v>541184.06000000006</v>
      </c>
      <c r="E14" s="243"/>
      <c r="F14" s="244"/>
      <c r="G14" s="53">
        <f>'DOE25'!J208+'DOE25'!J226+'DOE25'!J244</f>
        <v>39056.959999999999</v>
      </c>
      <c r="H14" s="53">
        <f>'DOE25'!K208+'DOE25'!K226+'DOE25'!K244</f>
        <v>0</v>
      </c>
      <c r="I14" s="254"/>
    </row>
    <row r="15" spans="1:9" x14ac:dyDescent="0.2">
      <c r="A15" s="32">
        <v>2700</v>
      </c>
      <c r="B15" t="s">
        <v>799</v>
      </c>
      <c r="C15" s="273">
        <f t="shared" si="0"/>
        <v>253705.88</v>
      </c>
      <c r="D15" s="20">
        <f>'DOE25'!L209+'DOE25'!L227+'DOE25'!L245-F15-G15-H15</f>
        <v>31058.739999999991</v>
      </c>
      <c r="E15" s="243"/>
      <c r="F15" s="244">
        <v>162283.14000000001</v>
      </c>
      <c r="G15" s="53">
        <f>'DOE25'!J209+'DOE25'!J227+'DOE25'!J245</f>
        <v>60364</v>
      </c>
      <c r="H15" s="53">
        <f>'DOE25'!K209+'DOE25'!K227+'DOE25'!K245</f>
        <v>0</v>
      </c>
      <c r="I15" s="254"/>
    </row>
    <row r="16" spans="1:9" x14ac:dyDescent="0.2">
      <c r="A16" s="32">
        <v>2800</v>
      </c>
      <c r="B16" t="s">
        <v>800</v>
      </c>
      <c r="C16" s="273">
        <f t="shared" si="0"/>
        <v>197178.26</v>
      </c>
      <c r="D16" s="243"/>
      <c r="E16" s="20">
        <f>'DOE25'!L210+'DOE25'!L228+'DOE25'!L246-F16-G16-H16</f>
        <v>96738.13</v>
      </c>
      <c r="F16" s="244"/>
      <c r="G16" s="53">
        <f>'DOE25'!J210+'DOE25'!J228+'DOE25'!J246</f>
        <v>100440.13</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3612.95</v>
      </c>
      <c r="D19" s="20">
        <f>'DOE25'!L254-F19-G19-H19</f>
        <v>3612.95</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102289.66</v>
      </c>
      <c r="D25" s="243"/>
      <c r="E25" s="243"/>
      <c r="F25" s="253"/>
      <c r="G25" s="251"/>
      <c r="H25" s="251"/>
      <c r="I25" s="252">
        <f>'DOE25'!L261+'DOE25'!L262+'DOE25'!L342+'DOE25'!L343</f>
        <v>102289.66</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116195.54000000001</v>
      </c>
      <c r="D29" s="281">
        <f>'DOE25'!L359+'DOE25'!L360+'DOE25'!L361-'DOE25'!I368-F29-G29-H29</f>
        <v>37320.150000000009</v>
      </c>
      <c r="E29" s="243"/>
      <c r="F29" s="244">
        <v>69730.39</v>
      </c>
      <c r="G29" s="53">
        <f>'DOE25'!J359+'DOE25'!J360+'DOE25'!J361</f>
        <v>9145</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640297.08000000007</v>
      </c>
      <c r="D31" s="20">
        <f>'DOE25'!L291+'DOE25'!L310+'DOE25'!L329+'DOE25'!L334+'DOE25'!L335+'DOE25'!L336-F31-G31-H31</f>
        <v>515865.15</v>
      </c>
      <c r="E31" s="243"/>
      <c r="F31" s="244"/>
      <c r="G31" s="53">
        <f>'DOE25'!J291+'DOE25'!J310+'DOE25'!J329+'DOE25'!J334+'DOE25'!J335+'DOE25'!J336</f>
        <v>113425.17</v>
      </c>
      <c r="H31" s="53">
        <f>'DOE25'!K291+'DOE25'!K310+'DOE25'!K329+'DOE25'!K334+'DOE25'!K335+'DOE25'!K336</f>
        <v>11006.76</v>
      </c>
      <c r="I31" s="254"/>
    </row>
    <row r="32" spans="1:9" ht="12" thickBot="1" x14ac:dyDescent="0.25">
      <c r="C32" s="274"/>
      <c r="G32" s="249"/>
      <c r="H32" s="249"/>
      <c r="I32" s="256"/>
    </row>
    <row r="33" spans="1:9" ht="12" thickTop="1" x14ac:dyDescent="0.2">
      <c r="B33" t="s">
        <v>809</v>
      </c>
      <c r="D33" s="245">
        <f t="shared" ref="D33:I33" si="1">SUM(D5:D31)</f>
        <v>6281363.8400000008</v>
      </c>
      <c r="E33" s="245">
        <f t="shared" si="1"/>
        <v>259321.84999999998</v>
      </c>
      <c r="F33" s="245">
        <f t="shared" si="1"/>
        <v>232013.53000000003</v>
      </c>
      <c r="G33" s="245">
        <f t="shared" si="1"/>
        <v>375513.44</v>
      </c>
      <c r="H33" s="245">
        <f t="shared" si="1"/>
        <v>89199.01999999999</v>
      </c>
      <c r="I33" s="245">
        <f t="shared" si="1"/>
        <v>102289.66</v>
      </c>
    </row>
    <row r="35" spans="1:9" ht="12" thickBot="1" x14ac:dyDescent="0.25">
      <c r="B35" s="249" t="s">
        <v>831</v>
      </c>
      <c r="D35" s="250">
        <f>E33</f>
        <v>259321.84999999998</v>
      </c>
      <c r="E35" s="246"/>
      <c r="F35" s="333" t="s">
        <v>1632</v>
      </c>
      <c r="G35" s="334"/>
      <c r="H35" s="334"/>
      <c r="I35" s="334"/>
    </row>
    <row r="36" spans="1:9" ht="12" thickTop="1" x14ac:dyDescent="0.2">
      <c r="B36" t="s">
        <v>810</v>
      </c>
      <c r="D36" s="20">
        <f>D33</f>
        <v>6281363.8400000008</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D1" zoomScaleNormal="100" workbookViewId="0">
      <selection activeCell="I35" sqref="I3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Lisbon Regional School</v>
      </c>
      <c r="B2" s="126">
        <f>'DOE25'!B2</f>
        <v>306</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3357191.6100000003</v>
      </c>
      <c r="G4" s="300">
        <f>'DOE25'!L212+'DOE25'!L291</f>
        <v>3357191.6099999994</v>
      </c>
      <c r="H4" s="353">
        <f>F4-G4</f>
        <v>0</v>
      </c>
      <c r="I4" s="371" t="str">
        <f>IF(H4=0,"","ISSUES!! Please review page 7 and 11 totals in comparison with total on this page")</f>
        <v/>
      </c>
      <c r="N4"/>
    </row>
    <row r="5" spans="1:18" x14ac:dyDescent="0.2">
      <c r="A5" s="21" t="s">
        <v>1190</v>
      </c>
      <c r="B5" s="301">
        <f>IFERROR(VLOOKUP(A5,'School Tables'!$C$3:$D$365,2,FALSE),"")</f>
        <v>21420</v>
      </c>
      <c r="C5" s="294" t="str">
        <f>IFERROR(INDEX('School Tables'!$B$3:$B$365,MATCH('School Level Expenditures'!B5,'School Tables'!$D$3:$D$365,0)),"")</f>
        <v>Lisbon Regional</v>
      </c>
      <c r="D5" s="291">
        <v>2827278.33</v>
      </c>
      <c r="E5" s="291">
        <v>529913.28</v>
      </c>
      <c r="F5" s="304">
        <f>D5+E5</f>
        <v>3357191.6100000003</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2827278.33</v>
      </c>
      <c r="E21" s="351">
        <f>SUM(E5:E20)</f>
        <v>529913.28</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1408070.72</v>
      </c>
      <c r="G24" s="300">
        <f>'DOE25'!L230+'DOE25'!L310</f>
        <v>1408070.7200000002</v>
      </c>
      <c r="H24" s="353">
        <f>F24-G24</f>
        <v>0</v>
      </c>
      <c r="I24" s="371" t="str">
        <f>IF(H24=0,"","ISSUES!! Please review page 8 and 12 totals in comparison with total on this page")</f>
        <v/>
      </c>
      <c r="N24"/>
    </row>
    <row r="25" spans="1:14" x14ac:dyDescent="0.2">
      <c r="A25" s="21" t="s">
        <v>1191</v>
      </c>
      <c r="B25" s="301">
        <f>IFERROR(VLOOKUP(A25,'School Tables'!$I$3:$J$80,2,FALSE),"")</f>
        <v>23095</v>
      </c>
      <c r="C25" s="294" t="str">
        <f t="array" ref="C25">IFERROR(INDEX('School Tables'!$H$3:$H$80,MATCH('School Level Expenditures'!B25,'School Tables'!$J$3:$J$80,0)),"")</f>
        <v>Lisbon Regional</v>
      </c>
      <c r="D25" s="291">
        <v>1363227.92</v>
      </c>
      <c r="E25" s="291">
        <v>44842.8</v>
      </c>
      <c r="F25" s="304">
        <f>D25+E25</f>
        <v>1408070.72</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1363227.92</v>
      </c>
      <c r="E33" s="351">
        <f>SUM(E25:E32)</f>
        <v>44842.8</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2349888.61</v>
      </c>
      <c r="G36" s="300">
        <f>'DOE25'!L248+'DOE25'!L329</f>
        <v>2349888.61</v>
      </c>
      <c r="H36" s="353">
        <f>F36-G36</f>
        <v>0</v>
      </c>
      <c r="I36" s="371" t="str">
        <f>IF(H36=0,"","ISSUES!! Please review page 9 and 13 totals in comparison with total on this page")</f>
        <v/>
      </c>
      <c r="N36"/>
    </row>
    <row r="37" spans="1:14" x14ac:dyDescent="0.2">
      <c r="A37" s="21" t="s">
        <v>1192</v>
      </c>
      <c r="B37" s="301">
        <f>IFERROR(VLOOKUP(A37,'School Tables'!$O$3:$P$118,2,FALSE),"")</f>
        <v>23100</v>
      </c>
      <c r="C37" s="294" t="str">
        <f t="array" ref="C37">IFERROR(INDEX('School Tables'!$N$3:$N$118,MATCH('School Level Expenditures'!B37,'School Tables'!$P$3:$P$118,0)),"")</f>
        <v>Lisbon Regional</v>
      </c>
      <c r="D37" s="291">
        <v>2284347.61</v>
      </c>
      <c r="E37" s="291">
        <v>65541</v>
      </c>
      <c r="F37" s="304">
        <f t="shared" ref="F37:F42" si="2">D37+E37</f>
        <v>2349888.61</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2284347.61</v>
      </c>
      <c r="E43" s="352">
        <f>SUM(E37:E42)</f>
        <v>65541</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L51" sqref="L5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Lisbon Regional School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269718.26</v>
      </c>
      <c r="D8" s="95" t="str">
        <f>'DOE25'!G9</f>
        <v xml:space="preserve"> </v>
      </c>
      <c r="E8" s="95" t="str">
        <f>'DOE25'!H9</f>
        <v xml:space="preserve"> </v>
      </c>
      <c r="F8" s="95">
        <f>'DOE25'!I9</f>
        <v>0</v>
      </c>
      <c r="G8" s="95">
        <f>'DOE25'!J9</f>
        <v>510811.33</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227339.16</v>
      </c>
      <c r="D11" s="95">
        <f>'DOE25'!G12</f>
        <v>5794.66</v>
      </c>
      <c r="E11" s="95">
        <f>'DOE25'!H12</f>
        <v>0</v>
      </c>
      <c r="F11" s="95">
        <f>'DOE25'!I12</f>
        <v>0</v>
      </c>
      <c r="G11" s="95">
        <f>'DOE25'!J12</f>
        <v>0</v>
      </c>
      <c r="H11" s="124"/>
      <c r="I11" s="124"/>
    </row>
    <row r="12" spans="1:9" x14ac:dyDescent="0.2">
      <c r="A12" s="1" t="s">
        <v>143</v>
      </c>
      <c r="B12" s="6">
        <v>140</v>
      </c>
      <c r="C12" s="95">
        <f>'DOE25'!F13</f>
        <v>0</v>
      </c>
      <c r="D12" s="95">
        <f>'DOE25'!G13</f>
        <v>25913.25</v>
      </c>
      <c r="E12" s="95">
        <f>'DOE25'!H13</f>
        <v>192400.26</v>
      </c>
      <c r="F12" s="95">
        <f>'DOE25'!I13</f>
        <v>0</v>
      </c>
      <c r="G12" s="95">
        <f>'DOE25'!J13</f>
        <v>0</v>
      </c>
      <c r="H12" s="124"/>
      <c r="I12" s="124"/>
    </row>
    <row r="13" spans="1:9" x14ac:dyDescent="0.2">
      <c r="A13" s="1" t="s">
        <v>144</v>
      </c>
      <c r="B13" s="6">
        <v>150</v>
      </c>
      <c r="C13" s="95">
        <f>'DOE25'!F14</f>
        <v>38562.01</v>
      </c>
      <c r="D13" s="95">
        <f>'DOE25'!G14</f>
        <v>0</v>
      </c>
      <c r="E13" s="95" t="str">
        <f>'DOE25'!H14</f>
        <v xml:space="preserve"> </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t="str">
        <f>'DOE25'!F17</f>
        <v xml:space="preserve"> </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535619.43000000005</v>
      </c>
      <c r="D18" s="41">
        <f>SUM(D8:D17)</f>
        <v>31707.91</v>
      </c>
      <c r="E18" s="41">
        <f>SUM(E8:E17)</f>
        <v>192400.26</v>
      </c>
      <c r="F18" s="41">
        <f>SUM(F8:F17)</f>
        <v>0</v>
      </c>
      <c r="G18" s="41">
        <f>SUM(G8:G17)</f>
        <v>510811.33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t="str">
        <f>'DOE25'!F22</f>
        <v xml:space="preserve"> </v>
      </c>
      <c r="D21" s="95">
        <f>'DOE25'!G22</f>
        <v>13969.12</v>
      </c>
      <c r="E21" s="95">
        <f>'DOE25'!H22</f>
        <v>184014.68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239079.07</v>
      </c>
      <c r="D23" s="95">
        <f>'DOE25'!G24</f>
        <v>0</v>
      </c>
      <c r="E23" s="95">
        <f>'DOE25'!H24</f>
        <v>8385.58</v>
      </c>
      <c r="F23" s="95">
        <f>'DOE25'!I24</f>
        <v>0</v>
      </c>
      <c r="G23" s="95">
        <f>'DOE25'!J24</f>
        <v>0</v>
      </c>
      <c r="H23" s="124"/>
      <c r="I23" s="124"/>
    </row>
    <row r="24" spans="1:9" x14ac:dyDescent="0.2">
      <c r="A24" s="1" t="s">
        <v>153</v>
      </c>
      <c r="B24" s="6">
        <v>430</v>
      </c>
      <c r="C24" s="95" t="str">
        <f>'DOE25'!F25</f>
        <v xml:space="preserve"> </v>
      </c>
      <c r="D24" s="95">
        <f>'DOE25'!G25</f>
        <v>0</v>
      </c>
      <c r="E24" s="95" t="str">
        <f>'DOE25'!H25</f>
        <v xml:space="preserve"> </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2897.33</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239079.07</v>
      </c>
      <c r="D31" s="41">
        <f>SUM(D21:D30)</f>
        <v>16866.45</v>
      </c>
      <c r="E31" s="41">
        <f>SUM(E21:E30)</f>
        <v>192400.25999999998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t="str">
        <f>'DOE25'!F36</f>
        <v xml:space="preserve"> </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14841.46</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t="str">
        <f>'DOE25'!F43</f>
        <v xml:space="preserve"> </v>
      </c>
      <c r="D42" s="95">
        <f>'DOE25'!G43</f>
        <v>0</v>
      </c>
      <c r="E42" s="95">
        <f>'DOE25'!H43</f>
        <v>0</v>
      </c>
      <c r="F42" s="95">
        <f>'DOE25'!I43</f>
        <v>0</v>
      </c>
      <c r="G42" s="95">
        <f>'DOE25'!J43</f>
        <v>510811.33</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296540.36</v>
      </c>
      <c r="D49" s="24" t="s">
        <v>288</v>
      </c>
      <c r="E49" s="24" t="s">
        <v>288</v>
      </c>
      <c r="F49" s="24" t="s">
        <v>288</v>
      </c>
      <c r="G49" s="24" t="s">
        <v>288</v>
      </c>
      <c r="H49" s="124"/>
      <c r="I49" s="124"/>
    </row>
    <row r="50" spans="1:9" ht="12.75" thickTop="1" thickBot="1" x14ac:dyDescent="0.25">
      <c r="A50" s="38" t="s">
        <v>884</v>
      </c>
      <c r="B50" s="48"/>
      <c r="C50" s="41">
        <f>SUM(C34:C49)</f>
        <v>296540.36</v>
      </c>
      <c r="D50" s="41">
        <f>SUM(D34:D49)</f>
        <v>14841.46</v>
      </c>
      <c r="E50" s="41">
        <f>SUM(E34:E49)</f>
        <v>0</v>
      </c>
      <c r="F50" s="41">
        <f>SUM(F34:F49)</f>
        <v>0</v>
      </c>
      <c r="G50" s="41">
        <f>SUM(G34:G49)</f>
        <v>510811.33</v>
      </c>
      <c r="H50" s="124"/>
      <c r="I50" s="124"/>
    </row>
    <row r="51" spans="1:9" ht="12" thickTop="1" x14ac:dyDescent="0.2">
      <c r="A51" s="38" t="s">
        <v>885</v>
      </c>
      <c r="B51" s="2"/>
      <c r="C51" s="41">
        <f>C50+C31</f>
        <v>535619.42999999993</v>
      </c>
      <c r="D51" s="41">
        <f>D50+D31</f>
        <v>31707.91</v>
      </c>
      <c r="E51" s="41">
        <f>E50+E31</f>
        <v>192400.25999999998</v>
      </c>
      <c r="F51" s="41">
        <f>F50+F31</f>
        <v>0</v>
      </c>
      <c r="G51" s="41">
        <f>G50+G31</f>
        <v>510811.33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3322401</v>
      </c>
      <c r="D56" s="95">
        <f>'DOE25'!G60</f>
        <v>0</v>
      </c>
      <c r="E56" s="95">
        <f>'DOE25'!H60</f>
        <v>0</v>
      </c>
      <c r="F56" s="95">
        <f>'DOE25'!I60</f>
        <v>0</v>
      </c>
      <c r="G56" s="95">
        <f>'DOE25'!J60</f>
        <v>0</v>
      </c>
      <c r="H56"/>
      <c r="I56"/>
    </row>
    <row r="57" spans="1:9" x14ac:dyDescent="0.2">
      <c r="A57" s="1" t="s">
        <v>164</v>
      </c>
      <c r="B57" s="6" t="s">
        <v>165</v>
      </c>
      <c r="C57" s="95">
        <f>'DOE25'!F79</f>
        <v>630162.84</v>
      </c>
      <c r="D57" s="24" t="s">
        <v>288</v>
      </c>
      <c r="E57" s="95">
        <f>'DOE25'!H79</f>
        <v>0</v>
      </c>
      <c r="F57" s="24" t="s">
        <v>288</v>
      </c>
      <c r="G57" s="24" t="s">
        <v>288</v>
      </c>
      <c r="H57"/>
      <c r="I57"/>
    </row>
    <row r="58" spans="1:9" x14ac:dyDescent="0.2">
      <c r="A58" s="1" t="s">
        <v>166</v>
      </c>
      <c r="B58" s="6" t="s">
        <v>167</v>
      </c>
      <c r="C58" s="95">
        <f>'DOE25'!F94</f>
        <v>3990</v>
      </c>
      <c r="D58" s="24" t="s">
        <v>288</v>
      </c>
      <c r="E58" s="95">
        <f>'DOE25'!H94</f>
        <v>0</v>
      </c>
      <c r="F58" s="24" t="s">
        <v>288</v>
      </c>
      <c r="G58" s="24" t="s">
        <v>288</v>
      </c>
      <c r="H58"/>
      <c r="I58"/>
    </row>
    <row r="59" spans="1:9" x14ac:dyDescent="0.2">
      <c r="A59" s="69" t="s">
        <v>168</v>
      </c>
      <c r="B59" s="37" t="s">
        <v>169</v>
      </c>
      <c r="C59" s="95">
        <f>'DOE25'!F96</f>
        <v>1933.43</v>
      </c>
      <c r="D59" s="95">
        <f>'DOE25'!G96</f>
        <v>0.64</v>
      </c>
      <c r="E59" s="95">
        <f>'DOE25'!H96</f>
        <v>0</v>
      </c>
      <c r="F59" s="95">
        <f>'DOE25'!I96</f>
        <v>0</v>
      </c>
      <c r="G59" s="95">
        <f>'DOE25'!J96</f>
        <v>318.39000000000004</v>
      </c>
      <c r="H59"/>
      <c r="I59"/>
    </row>
    <row r="60" spans="1:9" x14ac:dyDescent="0.2">
      <c r="A60" s="1" t="s">
        <v>170</v>
      </c>
      <c r="B60" s="118" t="s">
        <v>171</v>
      </c>
      <c r="C60" s="24" t="s">
        <v>288</v>
      </c>
      <c r="D60" s="95">
        <f>'DOE25'!G97</f>
        <v>9990.49</v>
      </c>
      <c r="E60" s="24" t="s">
        <v>288</v>
      </c>
      <c r="F60" s="24" t="s">
        <v>288</v>
      </c>
      <c r="G60" s="24" t="s">
        <v>288</v>
      </c>
      <c r="H60"/>
      <c r="I60"/>
    </row>
    <row r="61" spans="1:9" ht="12" thickBot="1" x14ac:dyDescent="0.25">
      <c r="A61" s="1" t="s">
        <v>172</v>
      </c>
      <c r="B61" s="118" t="s">
        <v>173</v>
      </c>
      <c r="C61" s="95">
        <f>SUM('DOE25'!F98:F110)</f>
        <v>52086.97</v>
      </c>
      <c r="D61" s="95">
        <f>SUM('DOE25'!G98:G110)</f>
        <v>0</v>
      </c>
      <c r="E61" s="95">
        <f>SUM('DOE25'!H98:H110)</f>
        <v>53.55</v>
      </c>
      <c r="F61" s="95">
        <f>SUM('DOE25'!I98:I110)</f>
        <v>0</v>
      </c>
      <c r="G61" s="95">
        <f>SUM('DOE25'!J98:J110)</f>
        <v>0</v>
      </c>
      <c r="H61"/>
      <c r="I61"/>
    </row>
    <row r="62" spans="1:9" ht="12.75" thickTop="1" thickBot="1" x14ac:dyDescent="0.25">
      <c r="A62" s="29" t="s">
        <v>174</v>
      </c>
      <c r="B62" s="6"/>
      <c r="C62" s="130">
        <f>SUM(C57:C61)</f>
        <v>688173.24</v>
      </c>
      <c r="D62" s="130">
        <f>SUM(D57:D61)</f>
        <v>9991.1299999999992</v>
      </c>
      <c r="E62" s="130">
        <f>SUM(E57:E61)</f>
        <v>53.55</v>
      </c>
      <c r="F62" s="130">
        <f>SUM(F57:F61)</f>
        <v>0</v>
      </c>
      <c r="G62" s="130">
        <f>SUM(G57:G61)</f>
        <v>318.39000000000004</v>
      </c>
      <c r="H62"/>
      <c r="I62"/>
    </row>
    <row r="63" spans="1:9" ht="12" thickTop="1" x14ac:dyDescent="0.2">
      <c r="A63" s="29" t="s">
        <v>175</v>
      </c>
      <c r="B63" s="6"/>
      <c r="C63" s="22">
        <f>C56+C62</f>
        <v>4010574.24</v>
      </c>
      <c r="D63" s="22">
        <f>D56+D62</f>
        <v>9991.1299999999992</v>
      </c>
      <c r="E63" s="22">
        <f>E56+E62</f>
        <v>53.55</v>
      </c>
      <c r="F63" s="22">
        <f>F56+F62</f>
        <v>0</v>
      </c>
      <c r="G63" s="22">
        <f>G56+G62</f>
        <v>318.39000000000004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2572003.77</v>
      </c>
      <c r="D66" s="24" t="s">
        <v>288</v>
      </c>
      <c r="E66" s="24" t="s">
        <v>288</v>
      </c>
      <c r="F66" s="24" t="s">
        <v>288</v>
      </c>
      <c r="G66" s="24" t="s">
        <v>288</v>
      </c>
      <c r="H66"/>
      <c r="I66"/>
    </row>
    <row r="67" spans="1:9" x14ac:dyDescent="0.2">
      <c r="A67" s="1" t="s">
        <v>770</v>
      </c>
      <c r="B67" s="6">
        <v>3112</v>
      </c>
      <c r="C67" s="95">
        <f>'DOE25'!F118</f>
        <v>363086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1564.05</v>
      </c>
      <c r="D69" s="95">
        <f>'DOE25'!G120</f>
        <v>0</v>
      </c>
      <c r="E69" s="95">
        <f>'DOE25'!H120</f>
        <v>0</v>
      </c>
      <c r="F69" s="95">
        <f>'DOE25'!I120</f>
        <v>0</v>
      </c>
      <c r="G69" s="95">
        <f>'DOE25'!J120</f>
        <v>0</v>
      </c>
      <c r="H69"/>
      <c r="I69"/>
    </row>
    <row r="70" spans="1:9" ht="12" thickTop="1" x14ac:dyDescent="0.2">
      <c r="A70" s="29" t="s">
        <v>252</v>
      </c>
      <c r="B70" s="2"/>
      <c r="C70" s="139">
        <f>SUM(C66:C69)</f>
        <v>2936653.82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t="str">
        <f>'DOE25'!F124</f>
        <v xml:space="preserve"> </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17524.919999999998</v>
      </c>
      <c r="D75" s="24" t="s">
        <v>288</v>
      </c>
      <c r="E75" s="24" t="s">
        <v>288</v>
      </c>
      <c r="F75" s="24" t="s">
        <v>288</v>
      </c>
      <c r="G75" s="24" t="s">
        <v>288</v>
      </c>
      <c r="H75"/>
      <c r="I75"/>
    </row>
    <row r="76" spans="1:9" x14ac:dyDescent="0.2">
      <c r="A76" s="1" t="s">
        <v>257</v>
      </c>
      <c r="B76" s="6" t="s">
        <v>179</v>
      </c>
      <c r="C76" s="95">
        <f>SUM('DOE25'!F127:F130)</f>
        <v>8984.93</v>
      </c>
      <c r="D76" s="24" t="s">
        <v>288</v>
      </c>
      <c r="E76" s="95">
        <f>SUM('DOE25'!H127:H130)</f>
        <v>0</v>
      </c>
      <c r="F76" s="95">
        <f>SUM('DOE25'!I127:I130)</f>
        <v>0</v>
      </c>
      <c r="G76" s="24" t="s">
        <v>288</v>
      </c>
      <c r="H76"/>
      <c r="I76"/>
    </row>
    <row r="77" spans="1:9" ht="12" thickBot="1" x14ac:dyDescent="0.25">
      <c r="A77" s="1" t="s">
        <v>258</v>
      </c>
      <c r="B77" s="6" t="s">
        <v>180</v>
      </c>
      <c r="C77" s="95">
        <f>SUM('DOE25'!F131:F135)</f>
        <v>12900</v>
      </c>
      <c r="D77" s="95">
        <f>SUM('DOE25'!G131:G135)</f>
        <v>2853.13</v>
      </c>
      <c r="E77" s="95">
        <f>SUM('DOE25'!H131:H135)</f>
        <v>0</v>
      </c>
      <c r="F77" s="95">
        <f>SUM('DOE25'!I131:I135)</f>
        <v>0</v>
      </c>
      <c r="G77" s="95">
        <f>SUM('DOE25'!J131:J135)</f>
        <v>0</v>
      </c>
      <c r="H77"/>
      <c r="I77"/>
    </row>
    <row r="78" spans="1:9" ht="12.75" thickTop="1" thickBot="1" x14ac:dyDescent="0.25">
      <c r="A78" s="29" t="s">
        <v>259</v>
      </c>
      <c r="B78" s="6"/>
      <c r="C78" s="130">
        <f>SUM(C72:C77)</f>
        <v>39409.85</v>
      </c>
      <c r="D78" s="130">
        <f>SUM(D72:D77)</f>
        <v>2853.13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2976063.67</v>
      </c>
      <c r="D81" s="130">
        <f>SUM(D79:D80)+D78+D70</f>
        <v>2853.13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13305.63</v>
      </c>
      <c r="D88" s="331">
        <f>SUM('DOE25'!G153:G162)</f>
        <v>103297.73</v>
      </c>
      <c r="E88" s="331">
        <f>SUM('DOE25'!H153:H162)</f>
        <v>640297.08000000007</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637.19000000000005</v>
      </c>
      <c r="D90" s="24" t="s">
        <v>288</v>
      </c>
      <c r="E90" s="24" t="s">
        <v>288</v>
      </c>
      <c r="F90" s="24" t="s">
        <v>288</v>
      </c>
      <c r="G90" s="24" t="s">
        <v>288</v>
      </c>
    </row>
    <row r="91" spans="1:9" ht="12.75" thickTop="1" thickBot="1" x14ac:dyDescent="0.25">
      <c r="A91" s="33" t="s">
        <v>750</v>
      </c>
      <c r="C91" s="131">
        <f>SUM(C85:C90)</f>
        <v>13942.82</v>
      </c>
      <c r="D91" s="131">
        <f>SUM(D85:D90)</f>
        <v>103297.73</v>
      </c>
      <c r="E91" s="131">
        <f>SUM(E85:E90)</f>
        <v>640297.08000000007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53.55</v>
      </c>
      <c r="E96" s="95">
        <f>'DOE25'!H180</f>
        <v>0</v>
      </c>
      <c r="F96" s="95">
        <f>'DOE25'!I180</f>
        <v>0</v>
      </c>
      <c r="G96" s="95">
        <f>'DOE25'!J180</f>
        <v>387909</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75000</v>
      </c>
      <c r="D99" s="95">
        <f>'DOE25'!G186</f>
        <v>0</v>
      </c>
      <c r="E99" s="95">
        <f>'DOE25'!H186</f>
        <v>0</v>
      </c>
      <c r="F99" s="95">
        <f>'DOE25'!I186</f>
        <v>0</v>
      </c>
      <c r="G99" s="24" t="s">
        <v>288</v>
      </c>
    </row>
    <row r="100" spans="1:7" x14ac:dyDescent="0.2">
      <c r="A100" t="s">
        <v>757</v>
      </c>
      <c r="B100" s="32" t="s">
        <v>190</v>
      </c>
      <c r="C100" s="95">
        <f>SUM('DOE25'!F187:F188)</f>
        <v>55.68</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75055.679999999993</v>
      </c>
      <c r="D103" s="86">
        <f>SUM(D93:D102)</f>
        <v>53.55</v>
      </c>
      <c r="E103" s="86">
        <f>SUM(E93:E102)</f>
        <v>0</v>
      </c>
      <c r="F103" s="86">
        <f>SUM(F93:F102)</f>
        <v>0</v>
      </c>
      <c r="G103" s="86">
        <f>SUM(G93:G102)</f>
        <v>387909</v>
      </c>
    </row>
    <row r="104" spans="1:7" ht="12.75" thickTop="1" thickBot="1" x14ac:dyDescent="0.25">
      <c r="A104" s="33" t="s">
        <v>761</v>
      </c>
      <c r="C104" s="86">
        <f>C63+C81+C91+C103</f>
        <v>7075636.4100000001</v>
      </c>
      <c r="D104" s="86">
        <f>D63+D81+D91+D103</f>
        <v>116195.54</v>
      </c>
      <c r="E104" s="86">
        <f>E63+E81+E91+E103</f>
        <v>640350.63000000012</v>
      </c>
      <c r="F104" s="86">
        <f>F63+F81+F91+F103</f>
        <v>0</v>
      </c>
      <c r="G104" s="86">
        <f>G63+G81+G103</f>
        <v>388227.39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2900217.68</v>
      </c>
      <c r="D109" s="24" t="s">
        <v>288</v>
      </c>
      <c r="E109" s="95">
        <f>('DOE25'!L277)+('DOE25'!L296)+('DOE25'!L315)</f>
        <v>318435.63</v>
      </c>
      <c r="F109" s="24" t="s">
        <v>288</v>
      </c>
      <c r="G109" s="24" t="s">
        <v>288</v>
      </c>
    </row>
    <row r="110" spans="1:7" x14ac:dyDescent="0.2">
      <c r="A110" t="s">
        <v>198</v>
      </c>
      <c r="B110" s="32" t="s">
        <v>199</v>
      </c>
      <c r="C110" s="95">
        <f>('DOE25'!L199)+('DOE25'!L217)+('DOE25'!L235)</f>
        <v>946165.16</v>
      </c>
      <c r="D110" s="24" t="s">
        <v>288</v>
      </c>
      <c r="E110" s="95">
        <f>('DOE25'!L278)+('DOE25'!L297)+('DOE25'!L316)</f>
        <v>217849.53</v>
      </c>
      <c r="F110" s="24" t="s">
        <v>288</v>
      </c>
      <c r="G110" s="24" t="s">
        <v>288</v>
      </c>
    </row>
    <row r="111" spans="1:7" x14ac:dyDescent="0.2">
      <c r="A111" t="s">
        <v>200</v>
      </c>
      <c r="B111" s="32" t="s">
        <v>165</v>
      </c>
      <c r="C111" s="95">
        <f>('DOE25'!L200)+('DOE25'!L218)+('DOE25'!L236)</f>
        <v>280173.19</v>
      </c>
      <c r="D111" s="24" t="s">
        <v>288</v>
      </c>
      <c r="E111" s="95">
        <f>('DOE25'!L279)+('DOE25'!L298)+('DOE25'!L317)</f>
        <v>0</v>
      </c>
      <c r="F111" s="24" t="s">
        <v>288</v>
      </c>
      <c r="G111" s="24" t="s">
        <v>288</v>
      </c>
    </row>
    <row r="112" spans="1:7" x14ac:dyDescent="0.2">
      <c r="A112" t="s">
        <v>201</v>
      </c>
      <c r="B112" s="32" t="s">
        <v>167</v>
      </c>
      <c r="C112" s="95">
        <f>('DOE25'!L201)+('DOE25'!L219)+('DOE25'!L237)</f>
        <v>115021.19</v>
      </c>
      <c r="D112" s="24" t="s">
        <v>288</v>
      </c>
      <c r="E112" s="95">
        <f>+('DOE25'!L280)+('DOE25'!L299)+('DOE25'!L318)</f>
        <v>11594.009999999998</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3612.95</v>
      </c>
      <c r="D114" s="24" t="s">
        <v>288</v>
      </c>
      <c r="E114" s="95">
        <f>+ SUM('DOE25'!L334:L336)</f>
        <v>0</v>
      </c>
      <c r="F114" s="24" t="s">
        <v>288</v>
      </c>
      <c r="G114" s="24" t="s">
        <v>288</v>
      </c>
    </row>
    <row r="115" spans="1:7" ht="12.75" thickTop="1" thickBot="1" x14ac:dyDescent="0.25">
      <c r="A115" s="33" t="s">
        <v>205</v>
      </c>
      <c r="C115" s="86">
        <f>SUM(C109:C114)</f>
        <v>4245190.1700000009</v>
      </c>
      <c r="D115" s="86">
        <f>SUM(D109:D114)</f>
        <v>0</v>
      </c>
      <c r="E115" s="86">
        <f>SUM(E109:E114)</f>
        <v>547879.17000000004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406045.68000000005</v>
      </c>
      <c r="D118" s="24" t="s">
        <v>288</v>
      </c>
      <c r="E118" s="95">
        <f>+('DOE25'!L282)+('DOE25'!L301)+('DOE25'!L320)</f>
        <v>44349.4</v>
      </c>
      <c r="F118" s="24" t="s">
        <v>288</v>
      </c>
      <c r="G118" s="24" t="s">
        <v>288</v>
      </c>
    </row>
    <row r="119" spans="1:7" x14ac:dyDescent="0.2">
      <c r="A119" t="s">
        <v>208</v>
      </c>
      <c r="B119" s="32" t="s">
        <v>209</v>
      </c>
      <c r="C119" s="95">
        <f>('DOE25'!L204)+('DOE25'!L222)+('DOE25'!L240)</f>
        <v>167457.92000000001</v>
      </c>
      <c r="D119" s="24" t="s">
        <v>288</v>
      </c>
      <c r="E119" s="95">
        <f>+('DOE25'!L283)+('DOE25'!L302)+('DOE25'!L321)</f>
        <v>14889.38</v>
      </c>
      <c r="F119" s="24" t="s">
        <v>288</v>
      </c>
      <c r="G119" s="24" t="s">
        <v>288</v>
      </c>
    </row>
    <row r="120" spans="1:7" x14ac:dyDescent="0.2">
      <c r="A120" t="s">
        <v>210</v>
      </c>
      <c r="B120" s="32" t="s">
        <v>211</v>
      </c>
      <c r="C120" s="95">
        <f>('DOE25'!L205)+('DOE25'!L223)+('DOE25'!L241)</f>
        <v>314496.14</v>
      </c>
      <c r="D120" s="24" t="s">
        <v>288</v>
      </c>
      <c r="E120" s="95">
        <f>+('DOE25'!L284)+('DOE25'!L303)+('DOE25'!L322)</f>
        <v>16579.010000000002</v>
      </c>
      <c r="F120" s="24" t="s">
        <v>288</v>
      </c>
      <c r="G120" s="24" t="s">
        <v>288</v>
      </c>
    </row>
    <row r="121" spans="1:7" x14ac:dyDescent="0.2">
      <c r="A121" t="s">
        <v>212</v>
      </c>
      <c r="B121" s="32" t="s">
        <v>213</v>
      </c>
      <c r="C121" s="95">
        <f>('DOE25'!L206)+('DOE25'!L224)+('DOE25'!L242)</f>
        <v>314151.74000000005</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580241.02</v>
      </c>
      <c r="D123" s="24" t="s">
        <v>288</v>
      </c>
      <c r="E123" s="95">
        <f>+('DOE25'!L287)+('DOE25'!L306)+('DOE25'!L325)</f>
        <v>0</v>
      </c>
      <c r="F123" s="24" t="s">
        <v>288</v>
      </c>
      <c r="G123" s="24" t="s">
        <v>288</v>
      </c>
    </row>
    <row r="124" spans="1:7" x14ac:dyDescent="0.2">
      <c r="A124" t="s">
        <v>218</v>
      </c>
      <c r="B124" s="32" t="s">
        <v>219</v>
      </c>
      <c r="C124" s="95">
        <f>('DOE25'!L209)+('DOE25'!L227)+('DOE25'!L245+'DOE25'!L255)</f>
        <v>253705.88</v>
      </c>
      <c r="D124" s="24" t="s">
        <v>288</v>
      </c>
      <c r="E124" s="95">
        <f>+('DOE25'!L288)+('DOE25'!L307)+('DOE25'!L326)</f>
        <v>16600.12</v>
      </c>
      <c r="F124" s="24" t="s">
        <v>288</v>
      </c>
      <c r="G124" s="24" t="s">
        <v>288</v>
      </c>
    </row>
    <row r="125" spans="1:7" x14ac:dyDescent="0.2">
      <c r="A125" t="s">
        <v>220</v>
      </c>
      <c r="B125" s="32" t="s">
        <v>221</v>
      </c>
      <c r="C125" s="95">
        <f>('DOE25'!L210)+('DOE25'!L228)+('DOE25'!L246)</f>
        <v>197178.26</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116195.54000000001</v>
      </c>
      <c r="E127" s="24" t="s">
        <v>288</v>
      </c>
      <c r="F127" s="24" t="s">
        <v>288</v>
      </c>
      <c r="G127" s="24" t="s">
        <v>288</v>
      </c>
    </row>
    <row r="128" spans="1:7" ht="12.75" thickTop="1" thickBot="1" x14ac:dyDescent="0.25">
      <c r="A128" s="33" t="s">
        <v>226</v>
      </c>
      <c r="C128" s="86">
        <f>SUM(C118:C127)</f>
        <v>2233276.6400000006</v>
      </c>
      <c r="D128" s="86">
        <f>SUM(D118:D127)</f>
        <v>116195.54000000001</v>
      </c>
      <c r="E128" s="86">
        <f>SUM(E118:E127)</f>
        <v>92417.91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82944.2</v>
      </c>
      <c r="D131" s="24" t="s">
        <v>288</v>
      </c>
      <c r="E131" s="129">
        <f>'DOE25'!L342</f>
        <v>0</v>
      </c>
      <c r="F131" s="24" t="s">
        <v>288</v>
      </c>
      <c r="G131" s="24" t="s">
        <v>288</v>
      </c>
    </row>
    <row r="132" spans="1:7" x14ac:dyDescent="0.2">
      <c r="A132" t="s">
        <v>230</v>
      </c>
      <c r="B132" s="32">
        <v>5120</v>
      </c>
      <c r="C132" s="95">
        <f>'DOE25'!L262</f>
        <v>19345.46</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53.55</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388227.38999999996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-318.38999999995576</v>
      </c>
      <c r="D141" s="24" t="s">
        <v>288</v>
      </c>
      <c r="E141" s="24" t="s">
        <v>288</v>
      </c>
      <c r="F141" s="24" t="s">
        <v>288</v>
      </c>
      <c r="G141" s="24" t="s">
        <v>288</v>
      </c>
    </row>
    <row r="142" spans="1:7" x14ac:dyDescent="0.2">
      <c r="A142" t="s">
        <v>241</v>
      </c>
      <c r="B142" s="32">
        <v>5310</v>
      </c>
      <c r="C142" s="129">
        <f>'DOE25'!L269</f>
        <v>12230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502428.66</v>
      </c>
      <c r="D144" s="141">
        <f>SUM(D130:D143)</f>
        <v>0</v>
      </c>
      <c r="E144" s="141">
        <f>SUM(E130:E143)</f>
        <v>53.55</v>
      </c>
      <c r="F144" s="141">
        <f>SUM(F130:F143)</f>
        <v>0</v>
      </c>
      <c r="G144" s="141">
        <f>SUM(G130:G143)</f>
        <v>0</v>
      </c>
    </row>
    <row r="145" spans="1:9" ht="12.75" thickTop="1" thickBot="1" x14ac:dyDescent="0.25">
      <c r="A145" s="33" t="s">
        <v>244</v>
      </c>
      <c r="C145" s="86">
        <f>(C115+C128+C144)</f>
        <v>6980895.4700000016</v>
      </c>
      <c r="D145" s="86">
        <f>(D115+D128+D144)</f>
        <v>116195.54000000001</v>
      </c>
      <c r="E145" s="86">
        <f>(E115+E128+E144)</f>
        <v>640350.63000000012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L38" sqref="L3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Lisbon Regional School</v>
      </c>
    </row>
    <row r="3" spans="1:4" x14ac:dyDescent="0.2">
      <c r="B3" s="188" t="s">
        <v>1666</v>
      </c>
    </row>
    <row r="4" spans="1:4" x14ac:dyDescent="0.2">
      <c r="B4" t="s">
        <v>61</v>
      </c>
      <c r="C4" s="179">
        <f>IF('DOE25'!F666+'DOE25'!F671=0,0,ROUND('DOE25'!F673,0))</f>
        <v>19695</v>
      </c>
    </row>
    <row r="5" spans="1:4" x14ac:dyDescent="0.2">
      <c r="B5" t="s">
        <v>700</v>
      </c>
      <c r="C5" s="179">
        <f>IF('DOE25'!G666+'DOE25'!G671=0,0,ROUND('DOE25'!G673,0))</f>
        <v>23268</v>
      </c>
    </row>
    <row r="6" spans="1:4" x14ac:dyDescent="0.2">
      <c r="B6" t="s">
        <v>62</v>
      </c>
      <c r="C6" s="179">
        <f>IF('DOE25'!H666+'DOE25'!H671=0,0,ROUND('DOE25'!H673,0))</f>
        <v>24891</v>
      </c>
    </row>
    <row r="7" spans="1:4" x14ac:dyDescent="0.2">
      <c r="B7" t="s">
        <v>701</v>
      </c>
      <c r="C7" s="179">
        <f>IF('DOE25'!I666+'DOE25'!I671=0,0,ROUND('DOE25'!I673,0))</f>
        <v>21809</v>
      </c>
    </row>
    <row r="9" spans="1:4" x14ac:dyDescent="0.2">
      <c r="A9" s="187" t="s">
        <v>94</v>
      </c>
      <c r="B9" s="188" t="s">
        <v>1671</v>
      </c>
      <c r="C9" s="181" t="s">
        <v>720</v>
      </c>
      <c r="D9" s="181" t="s">
        <v>721</v>
      </c>
    </row>
    <row r="10" spans="1:4" x14ac:dyDescent="0.2">
      <c r="A10">
        <v>1100</v>
      </c>
      <c r="B10" t="s">
        <v>702</v>
      </c>
      <c r="C10" s="179">
        <f>ROUND('DOE25'!L198+'DOE25'!L216+'DOE25'!L234+'DOE25'!L277+'DOE25'!L296+'DOE25'!L315,0)</f>
        <v>3218653</v>
      </c>
      <c r="D10" s="182">
        <f>ROUND((C10/$C$28)*100,1)</f>
        <v>44.4</v>
      </c>
    </row>
    <row r="11" spans="1:4" x14ac:dyDescent="0.2">
      <c r="A11">
        <v>1200</v>
      </c>
      <c r="B11" t="s">
        <v>703</v>
      </c>
      <c r="C11" s="179">
        <f>ROUND('DOE25'!L199+'DOE25'!L217+'DOE25'!L235+'DOE25'!L278+'DOE25'!L297+'DOE25'!L316,0)</f>
        <v>1164015</v>
      </c>
      <c r="D11" s="182">
        <f>ROUND((C11/$C$28)*100,1)</f>
        <v>16</v>
      </c>
    </row>
    <row r="12" spans="1:4" x14ac:dyDescent="0.2">
      <c r="A12">
        <v>1300</v>
      </c>
      <c r="B12" t="s">
        <v>704</v>
      </c>
      <c r="C12" s="179">
        <f>ROUND('DOE25'!L200+'DOE25'!L218+'DOE25'!L236+'DOE25'!L279+'DOE25'!L298+'DOE25'!L317,0)</f>
        <v>280173</v>
      </c>
      <c r="D12" s="182">
        <f>ROUND((C12/$C$28)*100,1)</f>
        <v>3.9</v>
      </c>
    </row>
    <row r="13" spans="1:4" x14ac:dyDescent="0.2">
      <c r="A13">
        <v>1400</v>
      </c>
      <c r="B13" t="s">
        <v>705</v>
      </c>
      <c r="C13" s="179">
        <f>ROUND('DOE25'!L201+'DOE25'!L219+'DOE25'!L237+'DOE25'!L280+'DOE25'!L299+'DOE25'!L318,0)</f>
        <v>126615</v>
      </c>
      <c r="D13" s="182">
        <f>ROUND((C13/$C$28)*100,1)</f>
        <v>1.7</v>
      </c>
    </row>
    <row r="14" spans="1:4" x14ac:dyDescent="0.2">
      <c r="D14" s="182"/>
    </row>
    <row r="15" spans="1:4" x14ac:dyDescent="0.2">
      <c r="A15">
        <v>2100</v>
      </c>
      <c r="B15" t="s">
        <v>706</v>
      </c>
      <c r="C15" s="179">
        <f>ROUND('DOE25'!L203+'DOE25'!L221+'DOE25'!L239+'DOE25'!L282+'DOE25'!L301+'DOE25'!L320,0)</f>
        <v>450395</v>
      </c>
      <c r="D15" s="182">
        <f t="shared" ref="D15:D27" si="0">ROUND((C15/$C$28)*100,1)</f>
        <v>6.2</v>
      </c>
    </row>
    <row r="16" spans="1:4" x14ac:dyDescent="0.2">
      <c r="A16">
        <v>2200</v>
      </c>
      <c r="B16" t="s">
        <v>707</v>
      </c>
      <c r="C16" s="179">
        <f>ROUND('DOE25'!L204+'DOE25'!L222+'DOE25'!L240+'DOE25'!L283+'DOE25'!L302+'DOE25'!L321,0)</f>
        <v>182347</v>
      </c>
      <c r="D16" s="182">
        <f t="shared" si="0"/>
        <v>2.5</v>
      </c>
    </row>
    <row r="17" spans="1:4" x14ac:dyDescent="0.2">
      <c r="A17" s="183" t="s">
        <v>723</v>
      </c>
      <c r="B17" t="s">
        <v>738</v>
      </c>
      <c r="C17" s="179">
        <f>ROUND('DOE25'!L205+'DOE25'!L210+'DOE25'!L223+'DOE25'!L228+'DOE25'!L241+'DOE25'!L246+'DOE25'!L284+'DOE25'!L289+'DOE25'!L303+'DOE25'!L308+'DOE25'!L322+'DOE25'!L327,0)</f>
        <v>528253</v>
      </c>
      <c r="D17" s="182">
        <f t="shared" si="0"/>
        <v>7.3</v>
      </c>
    </row>
    <row r="18" spans="1:4" x14ac:dyDescent="0.2">
      <c r="A18">
        <v>2400</v>
      </c>
      <c r="B18" t="s">
        <v>711</v>
      </c>
      <c r="C18" s="179">
        <f>ROUND('DOE25'!L206+'DOE25'!L224+'DOE25'!L242+'DOE25'!L285+'DOE25'!L304+'DOE25'!L323,0)</f>
        <v>314152</v>
      </c>
      <c r="D18" s="182">
        <f t="shared" si="0"/>
        <v>4.3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580241</v>
      </c>
      <c r="D20" s="182">
        <f t="shared" si="0"/>
        <v>8</v>
      </c>
    </row>
    <row r="21" spans="1:4" x14ac:dyDescent="0.2">
      <c r="A21">
        <v>2700</v>
      </c>
      <c r="B21" t="s">
        <v>710</v>
      </c>
      <c r="C21" s="179">
        <f>ROUND('DOE25'!L209+'DOE25'!L227+'DOE25'!L245+'DOE25'!L288+'DOE25'!L307+'DOE25'!L326,0)</f>
        <v>270306</v>
      </c>
      <c r="D21" s="182">
        <f t="shared" si="0"/>
        <v>3.7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3613</v>
      </c>
      <c r="D24" s="182">
        <f t="shared" si="0"/>
        <v>0</v>
      </c>
    </row>
    <row r="25" spans="1:4" x14ac:dyDescent="0.2">
      <c r="A25">
        <v>5120</v>
      </c>
      <c r="B25" t="s">
        <v>716</v>
      </c>
      <c r="C25" s="179">
        <f>ROUND('DOE25'!L262+'DOE25'!L343,0)</f>
        <v>19345</v>
      </c>
      <c r="D25" s="182">
        <f t="shared" si="0"/>
        <v>0.3</v>
      </c>
    </row>
    <row r="26" spans="1:4" x14ac:dyDescent="0.2">
      <c r="A26" s="183" t="s">
        <v>717</v>
      </c>
      <c r="B26" t="s">
        <v>718</v>
      </c>
      <c r="C26" s="179">
        <f>'DOE25'!L269+'DOE25'!L270+'DOE25'!L350+'DOE25'!L351</f>
        <v>12230</v>
      </c>
      <c r="D26" s="182">
        <f t="shared" si="0"/>
        <v>0.2</v>
      </c>
    </row>
    <row r="27" spans="1:4" x14ac:dyDescent="0.2">
      <c r="A27">
        <v>3100</v>
      </c>
      <c r="B27" t="s">
        <v>11</v>
      </c>
      <c r="C27" s="179">
        <f>ROUND('DOE25'!L363-'DOE25'!L362,0)-SUM('DOE25'!G97:G110)</f>
        <v>106205.51</v>
      </c>
      <c r="D27" s="182">
        <f t="shared" si="0"/>
        <v>1.5</v>
      </c>
    </row>
    <row r="28" spans="1:4" x14ac:dyDescent="0.2">
      <c r="B28" s="187" t="s">
        <v>719</v>
      </c>
      <c r="C28" s="180">
        <f>SUM(C10:C27)</f>
        <v>7256543.5099999998</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7256543.5099999998</v>
      </c>
    </row>
    <row r="31" spans="1:4" x14ac:dyDescent="0.2">
      <c r="B31" s="33"/>
      <c r="C31" s="180"/>
    </row>
    <row r="32" spans="1:4" x14ac:dyDescent="0.2">
      <c r="A32">
        <v>5100</v>
      </c>
      <c r="B32" s="33" t="s">
        <v>726</v>
      </c>
      <c r="C32" s="180">
        <f>ROUND('DOE25'!L261+'DOE25'!L342,0)</f>
        <v>82944</v>
      </c>
    </row>
    <row r="34" spans="1:4" x14ac:dyDescent="0.2">
      <c r="A34" s="187" t="s">
        <v>94</v>
      </c>
      <c r="B34" s="188" t="s">
        <v>1667</v>
      </c>
      <c r="C34" s="181" t="s">
        <v>720</v>
      </c>
      <c r="D34" s="181" t="s">
        <v>721</v>
      </c>
    </row>
    <row r="35" spans="1:4" x14ac:dyDescent="0.2">
      <c r="A35">
        <v>1100</v>
      </c>
      <c r="B35" s="185" t="s">
        <v>727</v>
      </c>
      <c r="C35" s="179">
        <f>ROUND('DOE25'!F60+'DOE25'!G60+'DOE25'!H60+'DOE25'!I60+'DOE25'!J60,0)</f>
        <v>3322401</v>
      </c>
      <c r="D35" s="182">
        <f t="shared" ref="D35:D40" si="1">ROUND((C35/$C$41)*100,1)</f>
        <v>42.9</v>
      </c>
    </row>
    <row r="36" spans="1:4" x14ac:dyDescent="0.2">
      <c r="B36" s="185" t="s">
        <v>739</v>
      </c>
      <c r="C36" s="179">
        <f>SUM('DOE25'!F112:J112)-SUM('DOE25'!G97:G110)+('DOE25'!F175+'DOE25'!F176+'DOE25'!I175+'DOE25'!I176)-C35</f>
        <v>688545.81999999937</v>
      </c>
      <c r="D36" s="182">
        <f t="shared" si="1"/>
        <v>8.9</v>
      </c>
    </row>
    <row r="37" spans="1:4" x14ac:dyDescent="0.2">
      <c r="A37" s="183" t="s">
        <v>835</v>
      </c>
      <c r="B37" s="185" t="s">
        <v>728</v>
      </c>
      <c r="C37" s="179">
        <f>ROUND('DOE25'!F117+'DOE25'!F118,0)</f>
        <v>2935090</v>
      </c>
      <c r="D37" s="182">
        <f t="shared" si="1"/>
        <v>37.9</v>
      </c>
    </row>
    <row r="38" spans="1:4" x14ac:dyDescent="0.2">
      <c r="A38" s="183" t="s">
        <v>734</v>
      </c>
      <c r="B38" s="185" t="s">
        <v>729</v>
      </c>
      <c r="C38" s="179">
        <f>ROUND(SUM('DOE25'!F140:J140)-SUM('DOE25'!F117:F119),0)</f>
        <v>43827</v>
      </c>
      <c r="D38" s="182">
        <f t="shared" si="1"/>
        <v>0.6</v>
      </c>
    </row>
    <row r="39" spans="1:4" x14ac:dyDescent="0.2">
      <c r="A39">
        <v>4000</v>
      </c>
      <c r="B39" s="185" t="s">
        <v>730</v>
      </c>
      <c r="C39" s="179">
        <f>ROUND('DOE25'!F170+'DOE25'!G170+'DOE25'!H170+'DOE25'!I170,0)</f>
        <v>757538</v>
      </c>
      <c r="D39" s="182">
        <f t="shared" si="1"/>
        <v>9.8000000000000007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7747401.8199999994</v>
      </c>
      <c r="D41" s="184">
        <f>SUM(D35:D40)</f>
        <v>100.09999999999998</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S33" sqref="S33"/>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Lisbon Regional School</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2021-11-08T17:29:41Z</cp:lastPrinted>
  <dcterms:created xsi:type="dcterms:W3CDTF">1997-12-04T19:04:30Z</dcterms:created>
  <dcterms:modified xsi:type="dcterms:W3CDTF">2021-12-14T18:28:31Z</dcterms:modified>
</cp:coreProperties>
</file>