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5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380" i="1" l="1"/>
  <c r="E28" i="17" l="1"/>
  <c r="H583" i="1"/>
  <c r="F120" i="1"/>
  <c r="D37" i="14" l="1"/>
  <c r="D25" i="14"/>
  <c r="F369" i="1"/>
  <c r="I359" i="1"/>
  <c r="G158" i="1" l="1"/>
  <c r="H576" i="1" l="1"/>
  <c r="H239" i="1"/>
  <c r="I226" i="1"/>
  <c r="B39" i="12" l="1"/>
  <c r="B21" i="12"/>
  <c r="B12" i="12"/>
  <c r="J605" i="1" l="1"/>
  <c r="I605" i="1"/>
  <c r="H605" i="1"/>
  <c r="J469" i="1"/>
  <c r="H473" i="1"/>
  <c r="G397" i="1"/>
  <c r="I244" i="1"/>
  <c r="H244" i="1"/>
  <c r="I240" i="1"/>
  <c r="I239" i="1"/>
  <c r="I237" i="1"/>
  <c r="I234" i="1"/>
  <c r="H199" i="1"/>
  <c r="G199" i="1"/>
  <c r="F199" i="1"/>
  <c r="E7" i="17" l="1"/>
  <c r="H31" i="17" s="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C119" i="2" s="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E111" i="2" s="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G553"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20"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G409" i="1" s="1"/>
  <c r="H646" i="1" s="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J471" i="1"/>
  <c r="H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32" i="1"/>
  <c r="H634" i="1"/>
  <c r="H638" i="1"/>
  <c r="H639" i="1"/>
  <c r="G641" i="1"/>
  <c r="G644" i="1"/>
  <c r="G645" i="1"/>
  <c r="G646" i="1"/>
  <c r="G651" i="1"/>
  <c r="G652" i="1"/>
  <c r="J652" i="1" s="1"/>
  <c r="G653" i="1"/>
  <c r="H653" i="1"/>
  <c r="G654" i="1"/>
  <c r="H654" i="1"/>
  <c r="G655" i="1"/>
  <c r="H655" i="1"/>
  <c r="H656" i="1"/>
  <c r="G62" i="2"/>
  <c r="I170" i="1"/>
  <c r="G662" i="1" l="1"/>
  <c r="J656" i="1"/>
  <c r="H409" i="1"/>
  <c r="H645" i="1" s="1"/>
  <c r="A40" i="12"/>
  <c r="E123" i="2"/>
  <c r="E119" i="2"/>
  <c r="E110" i="2"/>
  <c r="G339" i="1"/>
  <c r="G353" i="1" s="1"/>
  <c r="K339" i="1"/>
  <c r="K353" i="1" s="1"/>
  <c r="H663" i="1"/>
  <c r="C12" i="10"/>
  <c r="C110" i="2"/>
  <c r="J258" i="1"/>
  <c r="F258" i="1"/>
  <c r="F272" i="1" s="1"/>
  <c r="C20" i="10"/>
  <c r="I370" i="1"/>
  <c r="H635" i="1" s="1"/>
  <c r="J635" i="1" s="1"/>
  <c r="L257" i="1"/>
  <c r="H193" i="1"/>
  <c r="H194"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28" i="16"/>
  <c r="L329" i="1"/>
  <c r="E122" i="2"/>
  <c r="L291" i="1"/>
  <c r="L615" i="1"/>
  <c r="K599" i="1"/>
  <c r="G648" i="1" s="1"/>
  <c r="K572" i="1"/>
  <c r="L571" i="1"/>
  <c r="H572" i="1"/>
  <c r="L566" i="1"/>
  <c r="L572" i="1" s="1"/>
  <c r="I572" i="1"/>
  <c r="K546" i="1"/>
  <c r="H52" i="1"/>
  <c r="H620" i="1" s="1"/>
  <c r="J620" i="1" s="1"/>
  <c r="C114" i="2"/>
  <c r="G112" i="1"/>
  <c r="B10" i="16" s="1"/>
  <c r="E118" i="2"/>
  <c r="E128" i="2" s="1"/>
  <c r="L248" i="1"/>
  <c r="L212" i="1"/>
  <c r="F661" i="1" s="1"/>
  <c r="H648" i="1"/>
  <c r="J645" i="1"/>
  <c r="G626" i="1"/>
  <c r="L530" i="1"/>
  <c r="H546" i="1"/>
  <c r="G164" i="2"/>
  <c r="G161" i="2"/>
  <c r="G157" i="2"/>
  <c r="G156" i="2"/>
  <c r="G81" i="2"/>
  <c r="C78" i="2"/>
  <c r="F78" i="2"/>
  <c r="F81" i="2" s="1"/>
  <c r="C70" i="2"/>
  <c r="D62" i="2"/>
  <c r="D63" i="2" s="1"/>
  <c r="E57" i="2"/>
  <c r="E62" i="2" s="1"/>
  <c r="E63" i="2" s="1"/>
  <c r="C26" i="10"/>
  <c r="C18" i="10"/>
  <c r="J546" i="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637" i="1" l="1"/>
  <c r="I473" i="1"/>
  <c r="G630" i="1"/>
  <c r="H469" i="1"/>
  <c r="C81" i="2"/>
  <c r="F194" i="1"/>
  <c r="F469" i="1" s="1"/>
  <c r="B17" i="16"/>
  <c r="B19" i="16" s="1"/>
  <c r="G473" i="1"/>
  <c r="E115" i="2"/>
  <c r="G24" i="14"/>
  <c r="H24" i="14" s="1"/>
  <c r="I24" i="14" s="1"/>
  <c r="H649" i="1"/>
  <c r="J649" i="1" s="1"/>
  <c r="H661" i="1"/>
  <c r="H665" i="1" s="1"/>
  <c r="E51" i="2"/>
  <c r="F51" i="2"/>
  <c r="G36" i="14"/>
  <c r="H36" i="14" s="1"/>
  <c r="I36" i="14" s="1"/>
  <c r="E145" i="2"/>
  <c r="E104" i="2"/>
  <c r="C36" i="10"/>
  <c r="L435" i="1"/>
  <c r="G639" i="1" s="1"/>
  <c r="J639" i="1" s="1"/>
  <c r="F665" i="1"/>
  <c r="F668" i="1" s="1"/>
  <c r="I662" i="1"/>
  <c r="G104" i="2"/>
  <c r="L339" i="1"/>
  <c r="L353" i="1" s="1"/>
  <c r="G634" i="1" s="1"/>
  <c r="J634" i="1" s="1"/>
  <c r="I194" i="1"/>
  <c r="G636" i="1"/>
  <c r="G51" i="2"/>
  <c r="D104" i="2"/>
  <c r="L409" i="1"/>
  <c r="C27" i="10"/>
  <c r="C28" i="10" s="1"/>
  <c r="D23" i="10" s="1"/>
  <c r="G4" i="14"/>
  <c r="H4" i="14" s="1"/>
  <c r="I4" i="14" s="1"/>
  <c r="L546" i="1"/>
  <c r="F104" i="2"/>
  <c r="B14" i="16"/>
  <c r="B22" i="16" s="1"/>
  <c r="G628" i="1"/>
  <c r="E33" i="13"/>
  <c r="D35" i="13" s="1"/>
  <c r="J648" i="1"/>
  <c r="L258" i="1"/>
  <c r="L272" i="1" s="1"/>
  <c r="C115" i="2"/>
  <c r="C63" i="2"/>
  <c r="C104" i="2" s="1"/>
  <c r="C39" i="10"/>
  <c r="G33" i="13"/>
  <c r="C144" i="2"/>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H637" i="1" l="1"/>
  <c r="I475" i="1"/>
  <c r="J637" i="1"/>
  <c r="G631" i="1"/>
  <c r="I469" i="1"/>
  <c r="H471" i="1"/>
  <c r="H477" i="1" s="1"/>
  <c r="H625" i="1" s="1"/>
  <c r="J625" i="1" s="1"/>
  <c r="H630" i="1"/>
  <c r="J630" i="1" s="1"/>
  <c r="F471" i="1"/>
  <c r="H628" i="1"/>
  <c r="J628" i="1" s="1"/>
  <c r="G475" i="1"/>
  <c r="H636" i="1"/>
  <c r="J636" i="1" s="1"/>
  <c r="G629" i="1"/>
  <c r="G469" i="1"/>
  <c r="G633" i="1"/>
  <c r="F473" i="1"/>
  <c r="H668" i="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471" i="1" l="1"/>
  <c r="I477" i="1" s="1"/>
  <c r="H626" i="1" s="1"/>
  <c r="J626" i="1" s="1"/>
  <c r="H631" i="1"/>
  <c r="J631" i="1"/>
  <c r="H629" i="1"/>
  <c r="G471" i="1"/>
  <c r="G477" i="1" s="1"/>
  <c r="J629" i="1"/>
  <c r="F475" i="1"/>
  <c r="F477" i="1" s="1"/>
  <c r="H623" i="1" s="1"/>
  <c r="J623" i="1" s="1"/>
  <c r="H633" i="1"/>
  <c r="J633" i="1"/>
  <c r="I668" i="1"/>
  <c r="D28" i="10"/>
  <c r="D37" i="10"/>
  <c r="D36" i="10"/>
  <c r="D35" i="10"/>
  <c r="D40" i="10"/>
  <c r="D39" i="10"/>
  <c r="B33" i="16" l="1"/>
  <c r="H624" i="1"/>
  <c r="D41" i="10"/>
  <c r="J624" i="1" l="1"/>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<sst xmlns="http://schemas.openxmlformats.org/spreadsheetml/2006/main" count="5574" uniqueCount="1673">
  <si>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</si>
  <si>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</si>
  <si>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</si>
  <si>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</si>
  <si>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</si>
  <si>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</si>
  <si>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</si>
  <si>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</si>
  <si>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</si>
  <si>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</si>
  <si>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</si>
  <si>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</si>
  <si>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</si>
  <si>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</si>
  <si>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</si>
  <si>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</si>
  <si>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</si>
  <si>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</si>
  <si>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</si>
  <si>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</si>
  <si>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</si>
  <si>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</si>
  <si>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</si>
  <si>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</si>
  <si>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</si>
  <si>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</si>
  <si>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</si>
  <si>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</si>
  <si>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</si>
  <si>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</si>
  <si>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</si>
  <si>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</si>
  <si>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</si>
  <si>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</si>
  <si>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</si>
  <si>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</si>
  <si>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</si>
  <si>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</si>
  <si>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</si>
  <si>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</si>
  <si>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</si>
  <si>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</si>
  <si>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</si>
  <si>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</si>
  <si>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</si>
  <si>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</si>
  <si>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</si>
  <si>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</si>
  <si>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</si>
  <si>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</si>
  <si>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</si>
  <si>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</si>
  <si>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</si>
  <si>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</si>
  <si>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</si>
  <si>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</si>
  <si>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</si>
  <si>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</si>
  <si>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</si>
  <si>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</si>
  <si>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</si>
  <si>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</si>
  <si>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</si>
  <si>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</si>
  <si>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</si>
  <si>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</si>
  <si>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</si>
  <si>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</si>
  <si>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</si>
  <si>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</si>
  <si>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</si>
  <si>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</si>
  <si>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</si>
  <si>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</si>
  <si>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</si>
  <si>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</si>
  <si>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</si>
  <si>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</si>
  <si>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</si>
  <si>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</si>
  <si>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</si>
  <si>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</si>
  <si>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</si>
  <si>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</si>
  <si>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</si>
  <si>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</si>
  <si>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</si>
  <si>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</si>
  <si>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</si>
  <si>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</si>
  <si>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</si>
  <si>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</si>
  <si>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</si>
  <si>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</si>
  <si>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</si>
  <si>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</si>
  <si>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</si>
  <si>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</si>
  <si>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</si>
  <si>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</si>
  <si>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</si>
  <si>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</si>
  <si>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</si>
  <si>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</si>
  <si>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</si>
  <si>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</si>
  <si>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</si>
  <si>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</si>
  <si>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</si>
  <si>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</si>
  <si>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</si>
  <si>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</si>
  <si>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</si>
  <si>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</si>
  <si>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</si>
  <si>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</si>
  <si>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</si>
  <si>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</si>
  <si>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</si>
  <si>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</si>
  <si>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</si>
  <si>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</si>
  <si>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</si>
  <si>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</si>
  <si>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</si>
  <si>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</si>
  <si>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</si>
  <si>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</si>
  <si>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</si>
  <si>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</si>
  <si>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</si>
  <si>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</si>
  <si>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</si>
  <si>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</si>
  <si>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</si>
  <si>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</si>
  <si>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</si>
  <si>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</si>
  <si>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</si>
  <si>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</si>
  <si>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</si>
  <si>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</si>
  <si>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</si>
  <si>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</si>
  <si>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</si>
  <si>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</si>
  <si>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</si>
  <si>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</si>
  <si>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</si>
  <si>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</si>
  <si>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</si>
  <si>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</si>
  <si>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</si>
  <si>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</si>
  <si>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</si>
  <si>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</si>
  <si>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</si>
  <si>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</si>
  <si>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</si>
  <si>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</si>
  <si>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</si>
  <si>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</si>
  <si>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</si>
  <si>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</si>
  <si>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</si>
  <si>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</si>
  <si>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</si>
  <si>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</si>
  <si>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</si>
  <si>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</si>
  <si>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</si>
  <si>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</si>
  <si>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</si>
  <si>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</si>
  <si>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</si>
  <si>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</si>
  <si>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</si>
  <si>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</si>
  <si>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</si>
  <si>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</si>
  <si>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</si>
  <si>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</si>
  <si>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</si>
  <si>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</si>
  <si>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</si>
  <si>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</si>
  <si>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</si>
  <si>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</si>
  <si>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</si>
  <si>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</si>
  <si>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</si>
  <si>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</si>
  <si>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</si>
  <si>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</si>
  <si>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</si>
  <si>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</si>
  <si>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</si>
  <si>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</si>
  <si>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</si>
  <si>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</si>
  <si>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</si>
  <si>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</si>
  <si>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</si>
  <si>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</si>
  <si>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</si>
  <si>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</si>
  <si>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</si>
  <si>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</si>
  <si>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</si>
  <si>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</si>
  <si>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</si>
  <si>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</si>
  <si>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</si>
  <si>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</si>
  <si>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</si>
  <si>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</si>
  <si>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</si>
  <si>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</si>
  <si>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</si>
  <si>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</si>
  <si>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</si>
  <si>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</si>
  <si>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</si>
  <si>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</si>
  <si>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</si>
  <si>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</si>
  <si>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</si>
  <si>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</si>
  <si>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</si>
  <si>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</si>
  <si>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</si>
  <si>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</si>
  <si>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</si>
  <si>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</si>
  <si>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</si>
  <si>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</si>
  <si>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</si>
  <si>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</si>
  <si>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</si>
  <si>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</si>
  <si>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</si>
  <si>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</si>
  <si>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</si>
  <si>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</si>
  <si>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</si>
  <si>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</si>
  <si>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</si>
  <si>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</si>
  <si>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</si>
  <si>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</si>
  <si>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</si>
  <si>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</si>
  <si>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</si>
  <si>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</si>
  <si>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</si>
  <si>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</si>
  <si>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</si>
  <si>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</si>
  <si>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</si>
  <si>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</si>
  <si>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</si>
  <si>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</si>
  <si>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</si>
  <si>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</si>
  <si>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</si>
  <si>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</si>
  <si>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</si>
  <si>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</si>
  <si>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</si>
  <si>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</si>
  <si>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</si>
  <si>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</si>
  <si>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</si>
  <si>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</si>
  <si>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</si>
  <si>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</si>
  <si>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</si>
  <si>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</si>
  <si>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</si>
  <si>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</si>
  <si>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</si>
  <si>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</si>
  <si>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</si>
  <si>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</si>
  <si>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</si>
  <si>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</si>
  <si>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</si>
  <si>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</si>
  <si>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</si>
  <si>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</si>
  <si>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</si>
  <si>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</si>
  <si>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</si>
  <si>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</si>
  <si>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</si>
  <si>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</si>
  <si>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</si>
  <si>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</si>
  <si>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</si>
  <si>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</si>
  <si>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</si>
  <si>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</si>
  <si>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</si>
  <si>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</si>
  <si>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</si>
  <si>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</si>
  <si>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</si>
  <si>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</si>
  <si>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</si>
  <si>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</si>
  <si>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</si>
  <si>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</si>
  <si>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</si>
  <si>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</si>
  <si>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</si>
  <si>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</si>
  <si>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</si>
  <si>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</si>
  <si>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</si>
  <si>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</si>
  <si>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</si>
  <si>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</si>
  <si>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</si>
  <si>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</si>
  <si>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</si>
  <si>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</si>
  <si>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</si>
  <si>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</si>
  <si>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</si>
  <si>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</si>
  <si>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</si>
  <si>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</si>
  <si>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</si>
  <si>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</si>
  <si>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</si>
  <si>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</si>
  <si>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</si>
  <si>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</si>
  <si>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</si>
  <si>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</si>
  <si>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</si>
  <si>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</si>
  <si>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</si>
  <si>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</si>
  <si>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</si>
  <si>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</si>
  <si>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</si>
  <si>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</si>
  <si>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</si>
  <si>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</si>
  <si>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</si>
  <si>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</si>
  <si>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</si>
  <si>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</si>
  <si>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</si>
  <si>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</si>
  <si>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</si>
  <si>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</si>
  <si>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</si>
  <si>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</si>
  <si>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</si>
  <si>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</si>
  <si>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</si>
  <si>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</si>
  <si>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</si>
  <si>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</si>
  <si>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</si>
  <si>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</si>
  <si>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</si>
  <si>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</si>
  <si>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</si>
  <si>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</si>
  <si>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</si>
  <si>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</si>
  <si>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</si>
  <si>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</si>
  <si>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</si>
  <si>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</si>
  <si>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</si>
  <si>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</si>
  <si>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</si>
  <si>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</si>
  <si>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</si>
  <si>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</si>
  <si>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</si>
  <si>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</si>
  <si>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</si>
  <si>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</si>
  <si>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</si>
  <si>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</si>
  <si>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</si>
  <si>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</si>
  <si>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</si>
  <si>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</si>
  <si>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</si>
  <si>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</si>
  <si>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</si>
  <si>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</si>
  <si>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</si>
  <si>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</si>
  <si>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</si>
  <si>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</si>
  <si>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</si>
  <si>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</si>
  <si>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</si>
  <si>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</si>
  <si>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</si>
  <si>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</si>
  <si>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</si>
  <si>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</si>
  <si>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</si>
  <si>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</si>
  <si>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</si>
  <si>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</si>
  <si>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</si>
  <si>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</si>
  <si>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</si>
  <si>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</si>
  <si>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</si>
  <si>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</si>
  <si>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</si>
  <si>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</si>
  <si>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</si>
  <si>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</si>
  <si>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</si>
  <si>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</si>
  <si>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</si>
  <si>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</si>
  <si>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</si>
  <si>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</si>
  <si>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</si>
  <si>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</si>
  <si>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</si>
  <si>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</si>
  <si>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</si>
  <si>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</si>
  <si>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</si>
  <si>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</si>
  <si>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</si>
  <si>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</si>
  <si>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</si>
  <si>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</si>
  <si>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</si>
  <si>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</si>
  <si>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</si>
  <si>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</si>
  <si>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</si>
  <si>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</si>
  <si>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</si>
  <si>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</si>
  <si>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</si>
  <si>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</si>
  <si>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</si>
  <si>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</si>
  <si>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</si>
  <si>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</si>
  <si>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</si>
  <si>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</si>
  <si>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</si>
  <si>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</si>
  <si>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</si>
  <si>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</si>
  <si>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</si>
  <si>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</si>
  <si>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</si>
  <si>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</si>
  <si>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</si>
  <si>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</si>
  <si>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</si>
  <si>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</si>
  <si>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</si>
  <si>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</si>
  <si>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</si>
  <si>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</si>
  <si>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</si>
  <si>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</si>
  <si>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</si>
  <si>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</si>
  <si>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</si>
  <si>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</si>
  <si>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</si>
  <si>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</si>
  <si>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</si>
  <si>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</si>
  <si>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</si>
  <si>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</si>
  <si>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</si>
  <si>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</si>
  <si>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</si>
  <si>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</si>
  <si>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</si>
  <si>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</si>
  <si>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</si>
  <si>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</si>
  <si>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</si>
  <si>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</si>
  <si>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</si>
  <si>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</si>
  <si>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</si>
  <si>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</si>
  <si>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</si>
  <si>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</si>
  <si>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</si>
  <si>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</si>
  <si>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</si>
  <si>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</si>
  <si>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</si>
  <si>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</si>
  <si>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</si>
  <si>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</si>
  <si>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</si>
  <si>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</si>
  <si>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</si>
  <si>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</si>
  <si>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</si>
  <si>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</si>
  <si>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</si>
  <si>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</si>
  <si>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</si>
  <si>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</si>
  <si>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</si>
  <si>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</si>
  <si>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</si>
  <si>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</si>
  <si>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</si>
  <si>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</si>
  <si>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</si>
  <si>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</si>
  <si>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</si>
  <si>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</si>
  <si>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</si>
  <si>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</si>
  <si>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</si>
  <si>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</si>
  <si>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</si>
  <si>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</si>
  <si>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</si>
  <si>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</si>
  <si>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</si>
  <si>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</si>
  <si>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</si>
  <si>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</si>
  <si>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</si>
  <si>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</si>
  <si>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</si>
  <si>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</si>
  <si>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</si>
  <si>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</si>
  <si>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</si>
  <si>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</si>
  <si>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</si>
  <si>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</si>
  <si>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</si>
  <si>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</si>
  <si>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</si>
  <si>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</si>
  <si>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</si>
  <si>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</si>
  <si>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</si>
  <si>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</si>
  <si>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</si>
  <si>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</si>
  <si>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</si>
  <si>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</si>
  <si>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</si>
  <si>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</si>
  <si>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</si>
  <si>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</si>
  <si>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</si>
  <si>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</si>
  <si>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</si>
  <si>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</si>
  <si>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</si>
  <si>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</si>
  <si>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</si>
  <si>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</si>
  <si>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</si>
  <si>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</si>
  <si>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</si>
  <si>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</si>
  <si>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</si>
  <si>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</si>
  <si>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</si>
  <si>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</si>
  <si>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</si>
  <si>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</si>
  <si>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</si>
  <si>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</si>
  <si>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</si>
  <si>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</si>
  <si>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</si>
  <si>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</si>
  <si>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</si>
  <si>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</si>
  <si>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</si>
  <si>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</si>
  <si>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</si>
  <si>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</si>
  <si>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</si>
  <si>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</si>
  <si>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</si>
  <si>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</si>
  <si>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</si>
  <si>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</si>
  <si>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</si>
  <si>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</si>
  <si>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</si>
  <si>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</si>
  <si>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</si>
  <si>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</si>
  <si>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</si>
  <si>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</si>
  <si>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</si>
  <si>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</si>
  <si>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</si>
  <si>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</si>
  <si>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</si>
  <si>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</si>
  <si>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</si>
  <si>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</si>
  <si>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</si>
  <si>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</si>
  <si>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</si>
  <si>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</si>
  <si>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</si>
  <si>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</si>
  <si>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</si>
  <si>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</si>
  <si>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</si>
  <si>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</si>
  <si>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</si>
  <si>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</si>
  <si>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</si>
  <si>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</si>
  <si>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</si>
  <si>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</si>
  <si>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</si>
  <si>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</si>
  <si>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</si>
  <si>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</si>
  <si>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</si>
  <si>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</si>
  <si>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</si>
  <si>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</si>
  <si>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</si>
  <si>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</si>
  <si>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</si>
  <si>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</si>
  <si>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</si>
  <si>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</si>
  <si>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</si>
  <si>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</si>
  <si>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</si>
  <si>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</si>
  <si>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</si>
  <si>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</si>
  <si>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</si>
  <si>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</si>
  <si>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</si>
  <si>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</si>
  <si>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</si>
  <si>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</si>
  <si>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</si>
  <si>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</si>
  <si>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</si>
  <si>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</si>
  <si>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</si>
  <si>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</si>
  <si>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</si>
  <si>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</si>
  <si>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</si>
  <si>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</si>
  <si>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</si>
  <si>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</si>
  <si>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</si>
  <si>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</si>
  <si>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</si>
  <si>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</si>
  <si>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</si>
  <si>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</si>
  <si>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</si>
  <si>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</si>
  <si>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</si>
  <si>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</si>
  <si>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</si>
  <si>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</si>
  <si>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</si>
  <si>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</si>
  <si>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</si>
  <si>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</si>
  <si>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</si>
  <si>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</si>
  <si>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</si>
  <si>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</si>
  <si>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</si>
  <si>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</si>
  <si>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</si>
  <si>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</si>
  <si>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</si>
  <si>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</si>
  <si>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</si>
  <si>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</si>
  <si>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</si>
  <si>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</si>
  <si>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</si>
  <si>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</si>
  <si>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</si>
  <si>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</si>
  <si>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</si>
  <si>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</si>
  <si>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</si>
  <si>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</si>
  <si>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</si>
  <si>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</si>
  <si>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</si>
  <si>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</si>
  <si>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</si>
  <si>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</si>
  <si>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</si>
  <si>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</si>
  <si>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</si>
  <si>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</si>
  <si>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</si>
  <si>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</si>
  <si>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</si>
  <si>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</si>
  <si>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</si>
  <si>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</si>
  <si>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</si>
  <si>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</si>
  <si>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</si>
  <si>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</si>
  <si>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</si>
  <si>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</si>
  <si>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</si>
  <si>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</si>
  <si>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</si>
  <si>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</si>
  <si>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</si>
  <si>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</si>
  <si>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</si>
  <si>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</si>
  <si>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</si>
  <si>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</si>
  <si>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</si>
  <si>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</si>
  <si>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</si>
  <si>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</si>
  <si>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</si>
  <si>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</si>
  <si>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</si>
  <si>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</si>
  <si>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</si>
  <si>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</si>
  <si>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</si>
  <si>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</si>
  <si>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</si>
  <si>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</si>
  <si>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</si>
  <si>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</si>
  <si>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</si>
  <si>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</si>
  <si>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</si>
  <si>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</si>
  <si>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</si>
  <si>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</si>
  <si>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</si>
  <si>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</si>
  <si>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</si>
  <si>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</si>
  <si>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</si>
  <si>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</si>
  <si>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</si>
  <si>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</si>
  <si>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</si>
  <si>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</si>
  <si>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</si>
  <si>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</si>
  <si>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</si>
  <si>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</si>
  <si>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</si>
  <si>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</si>
  <si>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</si>
  <si>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</si>
  <si>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</si>
  <si>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</si>
  <si>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</si>
  <si>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</si>
  <si>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</si>
  <si>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</si>
  <si>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</si>
  <si>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</si>
  <si>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</si>
  <si>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</si>
  <si>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</si>
  <si>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</si>
  <si>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</si>
  <si>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</si>
  <si>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</si>
  <si>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</si>
  <si>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</si>
  <si>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</si>
  <si>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</si>
  <si>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</si>
  <si>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</si>
  <si>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</si>
  <si>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</si>
  <si>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</si>
  <si>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</si>
  <si>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</si>
  <si>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</si>
  <si>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</si>
  <si>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</si>
  <si>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</si>
  <si>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</si>
  <si>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</si>
  <si>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</si>
  <si>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</si>
  <si>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</si>
  <si>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</si>
  <si>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</si>
  <si>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</si>
  <si>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</si>
  <si>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</si>
  <si>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</si>
  <si>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</si>
  <si>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</si>
  <si>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</si>
  <si>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</si>
  <si>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</si>
  <si>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</si>
  <si>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</si>
  <si>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</si>
  <si>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</si>
  <si>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</si>
  <si>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</si>
  <si>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</si>
  <si>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</si>
  <si>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</si>
  <si>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</si>
  <si>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</si>
  <si>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</si>
  <si>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</si>
  <si>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</si>
  <si>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</si>
  <si>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</si>
  <si>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</si>
  <si>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</si>
  <si>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</si>
  <si>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</si>
  <si>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</si>
  <si>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</si>
  <si>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</si>
  <si>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</si>
  <si>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</si>
  <si>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</si>
  <si>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</si>
  <si>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</si>
  <si>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</si>
  <si>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</si>
  <si>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</si>
  <si>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</si>
  <si>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</si>
  <si>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</si>
  <si>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</si>
  <si>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</si>
  <si>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</si>
  <si>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</si>
  <si>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</si>
  <si>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</si>
  <si>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</si>
  <si>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</si>
  <si>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</si>
  <si>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</si>
  <si>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</si>
  <si>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</si>
  <si>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</si>
  <si>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</si>
  <si>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</si>
  <si>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</si>
  <si>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</si>
  <si>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</si>
  <si>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</si>
  <si>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</si>
  <si>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</si>
  <si>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</si>
  <si>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</si>
  <si>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</si>
  <si>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</si>
  <si>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</si>
  <si>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</si>
  <si>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</si>
  <si>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</si>
  <si>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</si>
  <si>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</si>
  <si>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</si>
  <si>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</si>
  <si>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</si>
  <si>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</si>
  <si>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</si>
  <si>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</si>
  <si>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</si>
  <si>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</si>
  <si>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</si>
  <si>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</si>
  <si>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</si>
  <si>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</si>
  <si>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</si>
  <si>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</si>
  <si>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</si>
  <si>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</si>
  <si>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</si>
  <si>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</si>
  <si>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</si>
  <si>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</si>
  <si>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</si>
  <si>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</si>
  <si>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</si>
  <si>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</si>
  <si>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</si>
  <si>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</si>
  <si>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</si>
  <si>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</si>
  <si>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</si>
  <si>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</si>
  <si>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</si>
  <si>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</si>
  <si>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</si>
  <si>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</si>
  <si>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</si>
  <si>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</si>
  <si>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</si>
  <si>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</si>
  <si>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</si>
  <si>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</si>
  <si>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</si>
  <si>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</si>
  <si>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</si>
  <si>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</si>
  <si>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</si>
  <si>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</si>
  <si>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</si>
  <si>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</si>
  <si>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</si>
  <si>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</si>
  <si>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</si>
  <si>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</si>
  <si>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</si>
  <si>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</si>
  <si>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</si>
  <si>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</si>
  <si>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</si>
  <si>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</si>
  <si>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</si>
  <si>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</si>
  <si>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</si>
  <si>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</si>
  <si>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</si>
  <si>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</si>
  <si>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</si>
  <si>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</si>
  <si>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</si>
  <si>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</si>
  <si>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</si>
  <si>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</si>
  <si>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</si>
  <si>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</si>
  <si>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</si>
  <si>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</si>
  <si>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</si>
  <si>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</si>
  <si>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</si>
  <si>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</si>
  <si>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</si>
  <si>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</si>
  <si>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</si>
  <si>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</si>
  <si>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</si>
  <si>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</si>
  <si>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</si>
  <si>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</si>
  <si>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</si>
  <si>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</si>
  <si>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</si>
  <si>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</si>
  <si>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</si>
  <si>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</si>
  <si>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</si>
  <si>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</si>
  <si>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</si>
  <si>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</si>
  <si>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</si>
  <si>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</si>
  <si>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</si>
  <si>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</si>
  <si>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</si>
  <si>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</si>
  <si>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</si>
  <si>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</si>
  <si>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</si>
  <si>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</si>
  <si>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</si>
  <si>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</si>
  <si>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</si>
  <si>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</si>
  <si>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</si>
  <si>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</si>
  <si>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</si>
  <si>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</si>
  <si>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</si>
  <si>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</si>
  <si>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</si>
  <si>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</si>
  <si>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</si>
  <si>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</si>
  <si>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</si>
  <si>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</si>
  <si>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</si>
  <si>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</si>
  <si>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</si>
  <si>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</si>
  <si>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</si>
  <si>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</si>
  <si>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</si>
  <si>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</si>
  <si>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</si>
  <si>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</si>
  <si>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</si>
  <si>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</si>
  <si>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</si>
  <si>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</si>
  <si>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</si>
  <si>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</si>
  <si>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</si>
  <si>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</si>
  <si>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</si>
  <si>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</si>
  <si>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</si>
  <si>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</si>
  <si>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</si>
  <si>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</si>
  <si>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</si>
  <si>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</si>
  <si>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</si>
  <si>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</si>
  <si>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</si>
  <si>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</si>
  <si>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</si>
  <si>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</si>
  <si>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</si>
  <si>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</si>
  <si>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</si>
  <si>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</si>
  <si>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</si>
  <si>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</si>
  <si>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</si>
  <si>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</si>
  <si>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</si>
  <si>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</si>
  <si>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</si>
  <si>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</si>
  <si>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</si>
  <si>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</si>
  <si>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</si>
  <si>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</si>
  <si>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</si>
  <si>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</si>
  <si>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</si>
  <si>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</si>
  <si>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</si>
  <si>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</si>
  <si>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</si>
  <si>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</si>
  <si>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</si>
  <si>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</si>
  <si>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</si>
  <si>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</si>
  <si>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</si>
  <si>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</si>
  <si>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</si>
  <si>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</si>
  <si>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</si>
  <si>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</si>
  <si>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</si>
  <si>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</si>
  <si>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</si>
  <si>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</si>
  <si>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</si>
  <si>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</si>
  <si>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</si>
  <si>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</si>
  <si>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</si>
  <si>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</si>
  <si>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</si>
  <si>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</si>
  <si>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</si>
  <si>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</si>
  <si>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</si>
  <si>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</si>
  <si>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</si>
  <si>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</si>
  <si>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</si>
  <si>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</si>
  <si>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</si>
  <si>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</si>
  <si>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</si>
  <si>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</si>
  <si>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</si>
  <si>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</si>
  <si>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</si>
  <si>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</si>
  <si>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</si>
  <si>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</si>
  <si>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</si>
  <si>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</si>
  <si>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</si>
  <si>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</si>
  <si>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</si>
  <si>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</si>
  <si>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</si>
  <si>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</si>
  <si>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</si>
  <si>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</si>
  <si>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</si>
  <si>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</si>
  <si>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</si>
  <si>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</si>
  <si>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</si>
  <si>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</si>
  <si>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</si>
  <si>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</si>
  <si>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</si>
  <si>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</si>
  <si>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</si>
  <si>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</si>
  <si>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</si>
  <si>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</si>
  <si>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</si>
  <si>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</si>
  <si>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</si>
  <si>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</si>
  <si>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</si>
  <si>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</si>
  <si>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</si>
  <si>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</si>
  <si>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</si>
  <si>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</si>
  <si>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</si>
  <si>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</si>
  <si>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</si>
  <si>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</si>
  <si>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</si>
  <si>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</si>
  <si>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</si>
  <si>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</si>
  <si>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</si>
  <si>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</si>
  <si>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</si>
  <si>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</si>
  <si>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</si>
  <si>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</si>
  <si>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</si>
  <si>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</si>
  <si>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</si>
  <si>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</si>
  <si>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</si>
  <si>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</si>
  <si>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</si>
  <si>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</si>
  <si>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</si>
  <si>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</si>
  <si>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</si>
  <si>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</si>
  <si>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</si>
  <si>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</si>
  <si>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</si>
  <si>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</si>
  <si>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</si>
  <si>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</si>
  <si>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</si>
  <si>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</si>
  <si>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</si>
  <si>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</si>
  <si>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</si>
  <si>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</si>
  <si>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</si>
  <si>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</si>
  <si>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</si>
  <si>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</si>
  <si>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</si>
  <si>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</si>
  <si>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</si>
  <si>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</si>
  <si>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</si>
  <si>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</si>
  <si>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</si>
  <si>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</si>
  <si>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</si>
  <si>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</si>
  <si>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</si>
  <si>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</si>
  <si>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</si>
  <si>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</si>
  <si>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</si>
  <si>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</si>
  <si>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</si>
  <si>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</si>
  <si>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</si>
  <si>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</si>
  <si>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</si>
  <si>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</si>
  <si>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</si>
  <si>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</si>
  <si>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</si>
  <si>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</si>
  <si>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</si>
  <si>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</si>
  <si>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</si>
  <si>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</si>
  <si>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</si>
  <si>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</si>
  <si>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</si>
  <si>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</si>
  <si>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</si>
  <si>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</si>
  <si>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</si>
  <si>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</si>
  <si>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</si>
  <si>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</si>
  <si>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</si>
  <si>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</si>
  <si>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</si>
  <si>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</si>
  <si>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</si>
  <si>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</si>
  <si>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</si>
  <si>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</si>
  <si>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</si>
  <si>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</si>
  <si>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</si>
  <si>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</si>
  <si>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</si>
  <si>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</si>
  <si>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</si>
  <si>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</si>
  <si>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</si>
  <si>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</si>
  <si>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</si>
  <si>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</si>
  <si>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</si>
  <si>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</si>
  <si>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</si>
  <si>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</si>
  <si>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</si>
  <si>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</si>
  <si>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</si>
  <si>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</si>
  <si>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</si>
  <si>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</si>
  <si>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</si>
  <si>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</si>
  <si>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</si>
  <si>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</si>
  <si>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</si>
  <si>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</si>
  <si>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</si>
  <si>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</si>
  <si>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</si>
  <si>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</si>
  <si>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</si>
  <si>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</si>
  <si>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</si>
  <si>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</si>
  <si>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</si>
  <si>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</si>
  <si>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</si>
  <si>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</si>
  <si>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</si>
  <si>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</si>
  <si>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</si>
  <si>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</si>
  <si>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</si>
  <si>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</si>
  <si>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</si>
  <si>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</si>
  <si>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</si>
  <si>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</si>
  <si>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</si>
  <si>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</si>
  <si>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</si>
  <si>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</si>
  <si>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</si>
  <si>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</si>
  <si>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</si>
  <si>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</si>
  <si>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</si>
  <si>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</si>
  <si>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</si>
  <si>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</si>
  <si>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</si>
  <si>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</si>
  <si>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</si>
  <si>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</si>
  <si>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</si>
  <si>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</si>
  <si>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</si>
  <si>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</si>
  <si>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</si>
  <si>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</si>
  <si>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</si>
  <si>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</si>
  <si>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</si>
  <si>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</si>
  <si>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</si>
  <si>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</si>
  <si>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</si>
  <si>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</si>
  <si>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</si>
  <si>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</si>
  <si>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</si>
  <si>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</si>
  <si>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</si>
  <si>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</si>
  <si>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</si>
  <si>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</si>
  <si>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</si>
  <si>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</si>
  <si>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</si>
  <si>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</si>
  <si>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</si>
  <si>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</si>
  <si>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</si>
  <si>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</si>
  <si>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</si>
  <si>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</si>
  <si>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</si>
  <si>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</si>
  <si>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</si>
  <si>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</si>
  <si>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</si>
  <si>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</si>
  <si>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</si>
  <si>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</si>
  <si>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</si>
  <si>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</si>
  <si>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</si>
  <si>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</si>
  <si>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</si>
  <si>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</si>
  <si>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</si>
  <si>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</si>
  <si>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</si>
  <si>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</si>
  <si>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</si>
  <si>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</si>
  <si>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</si>
  <si>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</si>
  <si>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</si>
  <si>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</si>
  <si>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</si>
  <si>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</si>
  <si>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</si>
  <si>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</si>
  <si>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</si>
  <si>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</si>
  <si>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</si>
  <si>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</si>
  <si>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</si>
  <si>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</si>
  <si>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</si>
  <si>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</si>
  <si>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</si>
  <si>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</si>
  <si>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</si>
  <si>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</si>
  <si>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</si>
  <si>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</si>
  <si>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</si>
  <si>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</si>
  <si>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</si>
  <si>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</si>
  <si>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</si>
  <si>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</si>
  <si>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</si>
  <si>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</si>
  <si>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</si>
  <si>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</si>
  <si>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</si>
  <si>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</si>
  <si>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</si>
  <si>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</si>
  <si>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</si>
  <si>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</si>
  <si>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</si>
  <si>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</si>
  <si>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</si>
  <si>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</si>
  <si>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</si>
  <si>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</si>
  <si>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</si>
  <si>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</si>
  <si>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</si>
  <si>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</si>
  <si>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</si>
  <si>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</si>
  <si>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</si>
  <si>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</si>
  <si>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</si>
  <si>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</si>
  <si>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</si>
  <si>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</si>
  <si>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</si>
  <si>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</si>
  <si>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</si>
  <si>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</si>
  <si>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</si>
  <si>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</si>
  <si>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</si>
  <si>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</si>
  <si>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</si>
  <si>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</si>
  <si>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</si>
  <si>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</si>
  <si>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</si>
  <si>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</si>
  <si>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</si>
  <si>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</si>
  <si>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</si>
  <si>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</si>
  <si>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</si>
  <si>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</si>
  <si>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</si>
  <si>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</si>
  <si>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</si>
  <si>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</si>
  <si>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</si>
  <si>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</si>
  <si>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</si>
  <si>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</si>
  <si>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</si>
  <si>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</si>
  <si>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</si>
  <si>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</si>
  <si>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</si>
  <si>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</si>
  <si>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</si>
  <si>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</si>
  <si>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</si>
  <si>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</si>
  <si>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</si>
  <si>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</si>
  <si>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</si>
  <si>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</si>
  <si>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</si>
  <si>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</si>
  <si>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</si>
  <si>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</si>
  <si>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</si>
  <si>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</si>
  <si>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</si>
  <si>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</si>
  <si>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</si>
  <si>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</si>
  <si>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</si>
  <si>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</si>
  <si>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</si>
  <si>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</si>
  <si>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</si>
  <si>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</si>
  <si>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</si>
  <si>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</si>
  <si>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</si>
  <si>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</si>
  <si>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</si>
  <si>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</si>
  <si>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</si>
  <si>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</si>
  <si>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</si>
  <si>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</si>
  <si>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</si>
  <si>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</si>
  <si>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</si>
  <si>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</si>
  <si>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</si>
  <si>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</si>
  <si>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</si>
  <si>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</si>
  <si>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</si>
  <si>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</si>
  <si>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</si>
  <si>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</si>
  <si>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</si>
  <si>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</si>
  <si>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</si>
  <si>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</si>
  <si>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</si>
  <si>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</si>
  <si>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</si>
  <si>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</si>
  <si>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</si>
  <si>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</si>
  <si>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</si>
  <si>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</si>
  <si>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</si>
  <si>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</si>
  <si>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</si>
  <si>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</si>
  <si>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</si>
  <si>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</si>
  <si>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</si>
  <si>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</si>
  <si>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</si>
  <si>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</si>
  <si>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</si>
  <si>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</si>
  <si>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</si>
  <si>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</si>
  <si>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</si>
  <si>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</si>
  <si>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</si>
  <si>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</si>
  <si>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</si>
  <si>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</si>
  <si>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</si>
  <si>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</si>
  <si>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</si>
  <si>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</si>
  <si>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</si>
  <si>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</si>
  <si>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</si>
  <si>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</si>
  <si>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</si>
  <si>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</si>
  <si>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</si>
  <si>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</si>
  <si>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</si>
  <si>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</si>
  <si>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</si>
  <si>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</si>
  <si>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</si>
  <si>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</si>
  <si>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</si>
  <si>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</si>
  <si>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</si>
  <si>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</si>
  <si>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</si>
  <si>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</si>
  <si>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</si>
  <si>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</si>
  <si>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</si>
  <si>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</si>
  <si>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</si>
  <si>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</si>
  <si>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</si>
  <si>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</si>
  <si>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</si>
  <si>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</si>
  <si>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</si>
  <si>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</si>
  <si>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</si>
  <si>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</si>
  <si>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</si>
  <si>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</si>
  <si>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</si>
  <si>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</si>
  <si>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</si>
  <si>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</si>
  <si>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</si>
  <si>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</si>
  <si>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</si>
  <si>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</si>
  <si>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</si>
  <si>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</si>
  <si>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</si>
  <si>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</si>
  <si>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</si>
  <si>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</si>
  <si>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</si>
  <si>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</si>
  <si>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</si>
  <si>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</si>
  <si>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</si>
  <si>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</si>
  <si>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</si>
  <si>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</si>
  <si>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</si>
  <si>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</si>
  <si>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</si>
  <si>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</si>
  <si>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</si>
  <si>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</si>
  <si>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</si>
  <si>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</si>
  <si>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</si>
  <si>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</si>
  <si>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</si>
  <si>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</si>
  <si>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</si>
  <si>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</si>
  <si>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</si>
  <si>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</si>
  <si>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</si>
  <si>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</si>
  <si>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</si>
  <si>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</si>
  <si>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</si>
  <si>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</si>
  <si>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</si>
  <si>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</si>
  <si>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</si>
  <si>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</si>
  <si>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</si>
  <si>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</si>
  <si>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</si>
  <si>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</si>
  <si>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</si>
  <si>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</si>
  <si>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</si>
  <si>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</si>
  <si>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</si>
  <si>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</si>
  <si>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</si>
  <si>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</si>
  <si>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</si>
  <si>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</si>
  <si>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</si>
  <si>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</si>
  <si>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</si>
  <si>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</si>
  <si>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</si>
  <si>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</si>
  <si>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</si>
  <si>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</si>
  <si>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</si>
  <si>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</si>
  <si>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</si>
  <si>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</si>
  <si>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</si>
  <si>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</si>
  <si>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</si>
  <si>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</si>
  <si>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</si>
  <si>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</si>
  <si>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</si>
  <si>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</si>
  <si>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</si>
  <si>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</si>
  <si>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</si>
  <si>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</si>
  <si>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</si>
  <si>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</si>
  <si>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</si>
  <si>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</si>
  <si>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</si>
  <si>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</si>
  <si>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</si>
  <si>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</si>
  <si>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</si>
  <si>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</si>
  <si>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</si>
  <si>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</si>
  <si>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</si>
  <si>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</si>
  <si>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</si>
  <si>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</si>
  <si>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</si>
  <si>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</si>
  <si>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</si>
  <si>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</si>
  <si>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</si>
  <si>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</si>
  <si>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</si>
  <si>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Litchfield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</si>
</sst>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4"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315</v>
      </c>
      <c r="C2" s="21">
        <v>315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2296791.5299999998</v>
      </c>
      <c r="G9" s="18">
        <v>-195205.44</v>
      </c>
      <c r="H9" s="18">
        <v>61254.41</v>
      </c>
      <c r="I9" s="18">
        <v>-202003.18</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v>145839.79999999999</v>
      </c>
      <c r="H12" s="18">
        <v>309700</v>
      </c>
      <c r="I12" s="18">
        <v>682180.99</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69461.100000000006</v>
      </c>
      <c r="H13" s="18">
        <v>89728.72</v>
      </c>
      <c r="I13" s="18"/>
      <c r="J13" s="67">
        <f>SUM(I443)</f>
        <v>1343833.12</v>
      </c>
      <c r="K13" s="24" t="s">
        <v>288</v>
      </c>
      <c r="L13" s="24" t="s">
        <v>288</v>
      </c>
      <c r="M13" s="8"/>
      <c r="N13" s="264"/>
    </row>
    <row r="14" spans="1:14" s="3" customFormat="1" ht="12.2" customHeight="1" x14ac:dyDescent="0.15">
      <c r="A14" s="1" t="s">
        <v>565</v>
      </c>
      <c r="B14" s="2" t="s">
        <v>289</v>
      </c>
      <c r="C14" s="6">
        <v>6</v>
      </c>
      <c r="D14" s="2" t="s">
        <v>428</v>
      </c>
      <c r="E14" s="6">
        <v>150</v>
      </c>
      <c r="F14" s="18">
        <v>4826.75</v>
      </c>
      <c r="G14" s="18">
        <v>725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2301618.2799999998</v>
      </c>
      <c r="G19" s="41">
        <f>SUM(G9:G18)</f>
        <v>20820.459999999992</v>
      </c>
      <c r="H19" s="41">
        <f>SUM(H9:H18)</f>
        <v>460683.13</v>
      </c>
      <c r="I19" s="41">
        <f>SUM(I9:I18)</f>
        <v>480177.81</v>
      </c>
      <c r="J19" s="41">
        <f>SUM(J9:J18)</f>
        <v>1343833.12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895868.53</v>
      </c>
      <c r="G22" s="18"/>
      <c r="H22" s="18">
        <v>126663.75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73587.64</v>
      </c>
      <c r="G24" s="18"/>
      <c r="H24" s="18"/>
      <c r="I24" s="18">
        <v>10104</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30267.599999999999</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594325.30000000005</v>
      </c>
      <c r="G29" s="18">
        <v>20820.46</v>
      </c>
      <c r="H29" s="18">
        <v>24319.38</v>
      </c>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4852.2299999999996</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1598901.3</v>
      </c>
      <c r="G32" s="41">
        <f>SUM(G22:G31)</f>
        <v>20820.46</v>
      </c>
      <c r="H32" s="41">
        <f>SUM(H22:H31)</f>
        <v>150983.13</v>
      </c>
      <c r="I32" s="41">
        <f>SUM(I22:I31)</f>
        <v>10104</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309700</v>
      </c>
      <c r="I48" s="18">
        <v>470073.81</v>
      </c>
      <c r="J48" s="13">
        <f>SUM(I460)</f>
        <v>1343833.12</v>
      </c>
      <c r="K48" s="24" t="s">
        <v>288</v>
      </c>
      <c r="L48" s="24" t="s">
        <v>288</v>
      </c>
      <c r="M48" s="8"/>
      <c r="N48" s="264"/>
    </row>
    <row r="49" spans="1:14" s="3" customFormat="1" ht="12.2" customHeight="1" x14ac:dyDescent="0.15">
      <c r="A49" s="1" t="s">
        <v>859</v>
      </c>
      <c r="B49" s="2" t="s">
        <v>289</v>
      </c>
      <c r="C49" s="6">
        <v>34</v>
      </c>
      <c r="D49" s="2"/>
      <c r="E49" s="6">
        <v>753</v>
      </c>
      <c r="F49" s="18">
        <v>264821.90000000002</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337895.08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702716.98</v>
      </c>
      <c r="G51" s="41">
        <f>SUM(G35:G50)</f>
        <v>0</v>
      </c>
      <c r="H51" s="41">
        <f>SUM(H35:H50)</f>
        <v>309700</v>
      </c>
      <c r="I51" s="41">
        <f>SUM(I35:I50)</f>
        <v>470073.81</v>
      </c>
      <c r="J51" s="41">
        <f>SUM(J35:J50)</f>
        <v>1343833.12</v>
      </c>
      <c r="K51" s="45" t="s">
        <v>288</v>
      </c>
      <c r="L51" s="45" t="s">
        <v>288</v>
      </c>
      <c r="N51" s="262"/>
    </row>
    <row r="52" spans="1:14" s="3" customFormat="1" ht="12.2" customHeight="1" thickTop="1" x14ac:dyDescent="0.15">
      <c r="A52" s="38" t="s">
        <v>455</v>
      </c>
      <c r="B52" s="39" t="s">
        <v>289</v>
      </c>
      <c r="C52" s="6">
        <v>37</v>
      </c>
      <c r="D52" s="39" t="s">
        <v>653</v>
      </c>
      <c r="E52" s="39"/>
      <c r="F52" s="41">
        <f>F51+F32</f>
        <v>2301618.2800000003</v>
      </c>
      <c r="G52" s="41">
        <f>G51+G32</f>
        <v>20820.46</v>
      </c>
      <c r="H52" s="41">
        <f>H51+H32</f>
        <v>460683.13</v>
      </c>
      <c r="I52" s="41">
        <f>I51+I32</f>
        <v>480177.81</v>
      </c>
      <c r="J52" s="41">
        <f>J51+J32</f>
        <v>1343833.12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14052478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14052478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17012.78</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11466.9</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28479.68</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1037.02</v>
      </c>
      <c r="G96" s="18"/>
      <c r="H96" s="18"/>
      <c r="I96" s="18"/>
      <c r="J96" s="18">
        <v>1703.14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30706.07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2085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18473.98</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21596</v>
      </c>
      <c r="G111" s="41">
        <f>SUM(G96:G110)</f>
        <v>30706.07</v>
      </c>
      <c r="H111" s="41">
        <f>SUM(H96:H110)</f>
        <v>0</v>
      </c>
      <c r="I111" s="41">
        <f>SUM(I96:I110)</f>
        <v>0</v>
      </c>
      <c r="J111" s="41">
        <f>SUM(J96:J110)</f>
        <v>1703.14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14102553.68</v>
      </c>
      <c r="G112" s="41">
        <f>G60+G111</f>
        <v>30706.07</v>
      </c>
      <c r="H112" s="41">
        <f>H60+H79+H94+H111</f>
        <v>0</v>
      </c>
      <c r="I112" s="41">
        <f>I60+I111</f>
        <v>0</v>
      </c>
      <c r="J112" s="41">
        <f>J60+J111</f>
        <v>1703.14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6302710.3899999997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1918196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f>-36094.82+38090.03</f>
        <v>1995.2099999999991</v>
      </c>
      <c r="G120" s="18"/>
      <c r="H120" s="18"/>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8222901.5999999996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36094.82</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4894.41</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5567.68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v>100000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40989.229999999996</v>
      </c>
      <c r="G136" s="41">
        <f>SUM(G123:G135)</f>
        <v>5567.68</v>
      </c>
      <c r="H136" s="41">
        <f>SUM(H123:H135)</f>
        <v>0</v>
      </c>
      <c r="I136" s="41">
        <f>SUM(I123:I135)</f>
        <v>100000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8263890.8300000001</v>
      </c>
      <c r="G140" s="41">
        <f>G121+SUM(G136:G137)</f>
        <v>5567.68</v>
      </c>
      <c r="H140" s="41">
        <f>H121+SUM(H136:H139)</f>
        <v>0</v>
      </c>
      <c r="I140" s="41">
        <f>I121+I136</f>
        <v>100000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v>357113.03</v>
      </c>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42098.78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53051.44</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43108+283727.85</f>
        <v>326835.84999999998</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15618.03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253200</v>
      </c>
      <c r="I161" s="18">
        <v>0</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60599.95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15618.03</v>
      </c>
      <c r="G163" s="41">
        <f>SUM(G150:G162)</f>
        <v>326835.84999999998</v>
      </c>
      <c r="H163" s="41">
        <f>SUM(H150:H162)</f>
        <v>766063.2</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15618.03</v>
      </c>
      <c r="G170" s="41">
        <f>G147+G163+SUM(G164:G169)</f>
        <v>326835.84999999998</v>
      </c>
      <c r="H170" s="41">
        <f>H147+H163+SUM(H164:H169)</f>
        <v>766063.2</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145839.9</v>
      </c>
      <c r="H180" s="18"/>
      <c r="I180" s="18">
        <v>810310</v>
      </c>
      <c r="J180" s="18">
        <v>878432</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145839.9</v>
      </c>
      <c r="H184" s="41">
        <f>SUM(H180:H183)</f>
        <v>0</v>
      </c>
      <c r="I184" s="41">
        <f>SUM(I180:I183)</f>
        <v>810310</v>
      </c>
      <c r="J184" s="41">
        <f>SUM(J180:J183)</f>
        <v>878432</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9000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9000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9000</v>
      </c>
      <c r="G193" s="41">
        <f>G184+SUM(G189:G192)</f>
        <v>145839.9</v>
      </c>
      <c r="H193" s="41">
        <f>+H184+SUM(H189:H192)</f>
        <v>0</v>
      </c>
      <c r="I193" s="41">
        <f>I178+I184+SUM(I189:I192)</f>
        <v>810310</v>
      </c>
      <c r="J193" s="41">
        <f>J184</f>
        <v>878432</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22391062.539999999</v>
      </c>
      <c r="G194" s="47">
        <f>G112+G140+G170+G193</f>
        <v>508949.5</v>
      </c>
      <c r="H194" s="47">
        <f>H112+H140+H170+H193</f>
        <v>766063.2</v>
      </c>
      <c r="I194" s="47">
        <f>I112+I140+I170+I193</f>
        <v>910310</v>
      </c>
      <c r="J194" s="47">
        <f>J112+J140+J193</f>
        <v>880135.14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2101369.34</v>
      </c>
      <c r="G198" s="18">
        <v>948603.62</v>
      </c>
      <c r="H198" s="18">
        <v>11366.24</v>
      </c>
      <c r="I198" s="18">
        <v>72792.89</v>
      </c>
      <c r="J198" s="18">
        <v>12475.37</v>
      </c>
      <c r="K198" s="18">
        <v>136</v>
      </c>
      <c r="L198" s="19">
        <f>SUM(F198:K198)</f>
        <v>3146743.4600000004</v>
      </c>
      <c r="M198" s="8"/>
      <c r="N198" s="264"/>
    </row>
    <row r="199" spans="1:14" s="3" customFormat="1" ht="12.2" customHeight="1" x14ac:dyDescent="0.15">
      <c r="A199" s="1" t="s">
        <v>439</v>
      </c>
      <c r="B199" s="2" t="s">
        <v>341</v>
      </c>
      <c r="C199" s="2" t="s">
        <v>291</v>
      </c>
      <c r="D199" s="2" t="s">
        <v>431</v>
      </c>
      <c r="E199" s="6">
        <v>1200</v>
      </c>
      <c r="F199" s="18">
        <f>22189.11+849878.09</f>
        <v>872067.2</v>
      </c>
      <c r="G199" s="18">
        <f>6221.73+245741.35</f>
        <v>251963.08000000002</v>
      </c>
      <c r="H199" s="18">
        <f>379.61+208621.92</f>
        <v>209001.53</v>
      </c>
      <c r="I199" s="18">
        <v>10823.54</v>
      </c>
      <c r="J199" s="18">
        <v>3126.82</v>
      </c>
      <c r="K199" s="18">
        <v>4525.0600000000004</v>
      </c>
      <c r="L199" s="19">
        <f>SUM(F199:K199)</f>
        <v>1351507.2300000002</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17858.2</v>
      </c>
      <c r="G201" s="18">
        <v>4136.54</v>
      </c>
      <c r="H201" s="18">
        <v>0</v>
      </c>
      <c r="I201" s="18">
        <v>1473.8</v>
      </c>
      <c r="J201" s="18">
        <v>0</v>
      </c>
      <c r="K201" s="18">
        <v>0</v>
      </c>
      <c r="L201" s="19">
        <f>SUM(F201:K201)</f>
        <v>23468.54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310684.56</v>
      </c>
      <c r="G203" s="18">
        <v>119164.19</v>
      </c>
      <c r="H203" s="18">
        <v>58621.9</v>
      </c>
      <c r="I203" s="18">
        <v>6598.94</v>
      </c>
      <c r="J203" s="18">
        <v>2084.81</v>
      </c>
      <c r="K203" s="18">
        <v>179</v>
      </c>
      <c r="L203" s="19">
        <f t="shared" ref="L203:L209" si="0">SUM(F203:K203)</f>
        <v>497333.4</v>
      </c>
      <c r="M203" s="8"/>
      <c r="N203" s="264"/>
    </row>
    <row r="204" spans="1:14" s="3" customFormat="1" ht="12.2" customHeight="1" x14ac:dyDescent="0.15">
      <c r="A204" s="1" t="s">
        <v>443</v>
      </c>
      <c r="B204" s="2" t="s">
        <v>341</v>
      </c>
      <c r="C204" s="2" t="s">
        <v>295</v>
      </c>
      <c r="D204" s="2" t="s">
        <v>431</v>
      </c>
      <c r="E204" s="6">
        <v>2200</v>
      </c>
      <c r="F204" s="18">
        <v>115812.93</v>
      </c>
      <c r="G204" s="18">
        <v>61948.08</v>
      </c>
      <c r="H204" s="18">
        <v>3189.26</v>
      </c>
      <c r="I204" s="18">
        <v>46812.31</v>
      </c>
      <c r="J204" s="18">
        <v>62775.82</v>
      </c>
      <c r="K204" s="18">
        <v>25</v>
      </c>
      <c r="L204" s="19">
        <f t="shared" si="0"/>
        <v>290563.40000000002</v>
      </c>
      <c r="M204" s="8"/>
      <c r="N204" s="264"/>
    </row>
    <row r="205" spans="1:14" s="3" customFormat="1" ht="12.2" customHeight="1" x14ac:dyDescent="0.15">
      <c r="A205" s="1" t="s">
        <v>444</v>
      </c>
      <c r="B205" s="2" t="s">
        <v>341</v>
      </c>
      <c r="C205" s="2" t="s">
        <v>296</v>
      </c>
      <c r="D205" s="2" t="s">
        <v>431</v>
      </c>
      <c r="E205" s="6">
        <v>2300</v>
      </c>
      <c r="F205" s="18">
        <v>158314.09</v>
      </c>
      <c r="G205" s="18">
        <v>65533.08</v>
      </c>
      <c r="H205" s="18">
        <v>19410.95</v>
      </c>
      <c r="I205" s="18">
        <v>1436.66</v>
      </c>
      <c r="J205" s="18">
        <v>1396.42</v>
      </c>
      <c r="K205" s="18">
        <v>5726.24</v>
      </c>
      <c r="L205" s="19">
        <f t="shared" si="0"/>
        <v>251817.44</v>
      </c>
      <c r="M205" s="8"/>
      <c r="N205" s="264"/>
    </row>
    <row r="206" spans="1:14" s="3" customFormat="1" ht="12.2" customHeight="1" x14ac:dyDescent="0.15">
      <c r="A206" s="1" t="s">
        <v>445</v>
      </c>
      <c r="B206" s="2" t="s">
        <v>341</v>
      </c>
      <c r="C206" s="2" t="s">
        <v>297</v>
      </c>
      <c r="D206" s="2" t="s">
        <v>431</v>
      </c>
      <c r="E206" s="6">
        <v>2400</v>
      </c>
      <c r="F206" s="18">
        <v>327496.76</v>
      </c>
      <c r="G206" s="18">
        <v>161581.91</v>
      </c>
      <c r="H206" s="18">
        <v>2422.85</v>
      </c>
      <c r="I206" s="18">
        <v>2226.7399999999998</v>
      </c>
      <c r="J206" s="18">
        <v>0</v>
      </c>
      <c r="K206" s="18">
        <v>3617.54</v>
      </c>
      <c r="L206" s="19">
        <f t="shared" si="0"/>
        <v>497345.8</v>
      </c>
      <c r="M206" s="8"/>
      <c r="N206" s="264"/>
    </row>
    <row r="207" spans="1:14" s="3" customFormat="1" ht="12.2" customHeight="1" x14ac:dyDescent="0.15">
      <c r="A207" s="1" t="s">
        <v>446</v>
      </c>
      <c r="B207" s="2" t="s">
        <v>341</v>
      </c>
      <c r="C207" s="2" t="s">
        <v>298</v>
      </c>
      <c r="D207" s="2" t="s">
        <v>431</v>
      </c>
      <c r="E207" s="6">
        <v>2500</v>
      </c>
      <c r="F207" s="18">
        <v>50012.73</v>
      </c>
      <c r="G207" s="18">
        <v>24013.21</v>
      </c>
      <c r="H207" s="18">
        <v>21285.5</v>
      </c>
      <c r="I207" s="18">
        <v>4293.2</v>
      </c>
      <c r="J207" s="18">
        <v>0</v>
      </c>
      <c r="K207" s="18">
        <v>532.03</v>
      </c>
      <c r="L207" s="19">
        <f t="shared" si="0"/>
        <v>100136.67</v>
      </c>
      <c r="M207" s="8"/>
      <c r="N207" s="264"/>
    </row>
    <row r="208" spans="1:14" s="3" customFormat="1" ht="12.2" customHeight="1" x14ac:dyDescent="0.15">
      <c r="A208" s="1" t="s">
        <v>447</v>
      </c>
      <c r="B208" s="2" t="s">
        <v>341</v>
      </c>
      <c r="C208" s="2" t="s">
        <v>299</v>
      </c>
      <c r="D208" s="2" t="s">
        <v>431</v>
      </c>
      <c r="E208" s="6">
        <v>2600</v>
      </c>
      <c r="F208" s="18">
        <v>170641.62</v>
      </c>
      <c r="G208" s="18">
        <v>66779.789999999994</v>
      </c>
      <c r="H208" s="18">
        <v>140283.14000000001</v>
      </c>
      <c r="I208" s="18">
        <v>135079.76</v>
      </c>
      <c r="J208" s="18">
        <v>16745.560000000001</v>
      </c>
      <c r="K208" s="18">
        <v>0</v>
      </c>
      <c r="L208" s="19">
        <f t="shared" si="0"/>
        <v>529529.87</v>
      </c>
      <c r="M208" s="8"/>
      <c r="N208" s="264"/>
    </row>
    <row r="209" spans="1:14" s="3" customFormat="1" ht="12.2" customHeight="1" x14ac:dyDescent="0.15">
      <c r="A209" s="1" t="s">
        <v>448</v>
      </c>
      <c r="B209" s="2" t="s">
        <v>341</v>
      </c>
      <c r="C209" s="2" t="s">
        <v>300</v>
      </c>
      <c r="D209" s="2" t="s">
        <v>431</v>
      </c>
      <c r="E209" s="6">
        <v>2700</v>
      </c>
      <c r="F209" s="18">
        <v>0</v>
      </c>
      <c r="G209" s="18">
        <v>0</v>
      </c>
      <c r="H209" s="18">
        <v>285037.64</v>
      </c>
      <c r="I209" s="18">
        <v>0</v>
      </c>
      <c r="J209" s="18">
        <v>0</v>
      </c>
      <c r="K209" s="18">
        <v>0</v>
      </c>
      <c r="L209" s="19">
        <f t="shared" si="0"/>
        <v>285037.64</v>
      </c>
      <c r="M209" s="8"/>
      <c r="N209" s="264"/>
    </row>
    <row r="210" spans="1:14" s="3" customFormat="1" ht="12.2" customHeight="1" x14ac:dyDescent="0.15">
      <c r="A210" s="1" t="s">
        <v>449</v>
      </c>
      <c r="B210" s="2" t="s">
        <v>341</v>
      </c>
      <c r="C210" s="2" t="s">
        <v>343</v>
      </c>
      <c r="D210" s="2" t="s">
        <v>431</v>
      </c>
      <c r="E210" s="6">
        <v>2800</v>
      </c>
      <c r="F210" s="18">
        <v>124216.93</v>
      </c>
      <c r="G210" s="18">
        <v>59752.79</v>
      </c>
      <c r="H210" s="18">
        <v>69680.09</v>
      </c>
      <c r="I210" s="18">
        <v>34366.93</v>
      </c>
      <c r="J210" s="18">
        <v>62161.72</v>
      </c>
      <c r="K210" s="18">
        <v>1903.84</v>
      </c>
      <c r="L210" s="19">
        <f>SUM(F210:K210)</f>
        <v>352082.3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4248474.3600000003</v>
      </c>
      <c r="G212" s="41">
        <f t="shared" si="1"/>
        <v>1763476.29</v>
      </c>
      <c r="H212" s="41">
        <f t="shared" si="1"/>
        <v>820299.1</v>
      </c>
      <c r="I212" s="41">
        <f t="shared" si="1"/>
        <v>315904.76999999996</v>
      </c>
      <c r="J212" s="41">
        <f t="shared" si="1"/>
        <v>160766.52000000002</v>
      </c>
      <c r="K212" s="41">
        <f t="shared" si="1"/>
        <v>16644.71</v>
      </c>
      <c r="L212" s="41">
        <f t="shared" si="1"/>
        <v>7325565.7500000009</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1907544.73</v>
      </c>
      <c r="G216" s="18">
        <v>934448.09</v>
      </c>
      <c r="H216" s="18">
        <v>19598.91</v>
      </c>
      <c r="I216" s="18">
        <v>28472.3</v>
      </c>
      <c r="J216" s="18">
        <v>5789.89</v>
      </c>
      <c r="K216" s="18">
        <v>155</v>
      </c>
      <c r="L216" s="19">
        <f>SUM(F216:K216)</f>
        <v>2896008.92</v>
      </c>
      <c r="M216" s="8"/>
      <c r="N216" s="264"/>
    </row>
    <row r="217" spans="1:14" s="3" customFormat="1" ht="12.2" customHeight="1" x14ac:dyDescent="0.15">
      <c r="A217" s="1" t="s">
        <v>439</v>
      </c>
      <c r="B217" s="2" t="s">
        <v>346</v>
      </c>
      <c r="C217" s="2" t="s">
        <v>291</v>
      </c>
      <c r="D217" s="2" t="s">
        <v>431</v>
      </c>
      <c r="E217" s="6">
        <v>1200</v>
      </c>
      <c r="F217" s="18">
        <v>706553.44</v>
      </c>
      <c r="G217" s="18">
        <v>134255.82999999999</v>
      </c>
      <c r="H217" s="18">
        <v>157876.51</v>
      </c>
      <c r="I217" s="18">
        <v>6041.39</v>
      </c>
      <c r="J217" s="18">
        <v>1825.2</v>
      </c>
      <c r="K217" s="18">
        <v>3207.5</v>
      </c>
      <c r="L217" s="19">
        <f>SUM(F217:K217)</f>
        <v>1009759.8699999999</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51475</v>
      </c>
      <c r="G219" s="18">
        <v>10844.29</v>
      </c>
      <c r="H219" s="18">
        <v>2734</v>
      </c>
      <c r="I219" s="18">
        <v>4222.5600000000004</v>
      </c>
      <c r="J219" s="18">
        <v>0</v>
      </c>
      <c r="K219" s="18">
        <v>345</v>
      </c>
      <c r="L219" s="19">
        <f>SUM(F219:K219)</f>
        <v>69620.850000000006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359089.16</v>
      </c>
      <c r="G221" s="18">
        <v>164323.51</v>
      </c>
      <c r="H221" s="18">
        <v>45844.04</v>
      </c>
      <c r="I221" s="18">
        <v>3660.88</v>
      </c>
      <c r="J221" s="18">
        <v>105.74</v>
      </c>
      <c r="K221" s="18">
        <v>0</v>
      </c>
      <c r="L221" s="19">
        <f t="shared" ref="L221:L227" si="2">SUM(F221:K221)</f>
        <v>573023.32999999996</v>
      </c>
      <c r="M221" s="8"/>
      <c r="N221" s="264"/>
    </row>
    <row r="222" spans="1:14" s="3" customFormat="1" ht="12.2" customHeight="1" x14ac:dyDescent="0.15">
      <c r="A222" s="1" t="s">
        <v>443</v>
      </c>
      <c r="B222" s="2" t="s">
        <v>346</v>
      </c>
      <c r="C222" s="2" t="s">
        <v>295</v>
      </c>
      <c r="D222" s="2" t="s">
        <v>431</v>
      </c>
      <c r="E222" s="6">
        <v>2200</v>
      </c>
      <c r="F222" s="18">
        <v>106530.2</v>
      </c>
      <c r="G222" s="18">
        <v>70398.86</v>
      </c>
      <c r="H222" s="18">
        <v>4889</v>
      </c>
      <c r="I222" s="18">
        <v>37727.269999999997</v>
      </c>
      <c r="J222" s="18">
        <v>37023.61</v>
      </c>
      <c r="K222" s="18">
        <v>0</v>
      </c>
      <c r="L222" s="19">
        <f t="shared" si="2"/>
        <v>256568.94</v>
      </c>
      <c r="M222" s="8"/>
      <c r="N222" s="264"/>
    </row>
    <row r="223" spans="1:14" s="3" customFormat="1" ht="12.2" customHeight="1" x14ac:dyDescent="0.15">
      <c r="A223" s="1" t="s">
        <v>444</v>
      </c>
      <c r="B223" s="2" t="s">
        <v>346</v>
      </c>
      <c r="C223" s="2" t="s">
        <v>296</v>
      </c>
      <c r="D223" s="2" t="s">
        <v>431</v>
      </c>
      <c r="E223" s="6">
        <v>2300</v>
      </c>
      <c r="F223" s="18">
        <v>128281.65</v>
      </c>
      <c r="G223" s="18">
        <v>53059.28</v>
      </c>
      <c r="H223" s="18">
        <v>16475.77</v>
      </c>
      <c r="I223" s="18">
        <v>1216.47</v>
      </c>
      <c r="J223" s="18">
        <v>1049.48</v>
      </c>
      <c r="K223" s="18">
        <v>4795.97</v>
      </c>
      <c r="L223" s="19">
        <f t="shared" si="2"/>
        <v>204878.62</v>
      </c>
      <c r="M223" s="8"/>
      <c r="N223" s="264"/>
    </row>
    <row r="224" spans="1:14" s="3" customFormat="1" ht="12.2" customHeight="1" x14ac:dyDescent="0.15">
      <c r="A224" s="1" t="s">
        <v>445</v>
      </c>
      <c r="B224" s="2" t="s">
        <v>346</v>
      </c>
      <c r="C224" s="2" t="s">
        <v>297</v>
      </c>
      <c r="D224" s="2" t="s">
        <v>431</v>
      </c>
      <c r="E224" s="6">
        <v>2400</v>
      </c>
      <c r="F224" s="18">
        <v>295436.55</v>
      </c>
      <c r="G224" s="18">
        <v>131183.26999999999</v>
      </c>
      <c r="H224" s="18">
        <v>3620.64</v>
      </c>
      <c r="I224" s="18">
        <v>718.28</v>
      </c>
      <c r="J224" s="18">
        <v>0</v>
      </c>
      <c r="K224" s="18">
        <v>5257.01</v>
      </c>
      <c r="L224" s="19">
        <f t="shared" si="2"/>
        <v>436215.75</v>
      </c>
      <c r="M224" s="8"/>
      <c r="N224" s="264"/>
    </row>
    <row r="225" spans="1:14" s="3" customFormat="1" ht="12.2" customHeight="1" x14ac:dyDescent="0.15">
      <c r="A225" s="1" t="s">
        <v>446</v>
      </c>
      <c r="B225" s="2" t="s">
        <v>346</v>
      </c>
      <c r="C225" s="2" t="s">
        <v>298</v>
      </c>
      <c r="D225" s="2" t="s">
        <v>431</v>
      </c>
      <c r="E225" s="6">
        <v>2500</v>
      </c>
      <c r="F225" s="18">
        <v>42599.08</v>
      </c>
      <c r="G225" s="18">
        <v>20453.599999999999</v>
      </c>
      <c r="H225" s="18">
        <v>18130.240000000002</v>
      </c>
      <c r="I225" s="18">
        <v>3656.79</v>
      </c>
      <c r="J225" s="18">
        <v>0</v>
      </c>
      <c r="K225" s="18">
        <v>453.16</v>
      </c>
      <c r="L225" s="19">
        <f t="shared" si="2"/>
        <v>85292.87</v>
      </c>
      <c r="M225" s="8"/>
      <c r="N225" s="264"/>
    </row>
    <row r="226" spans="1:14" s="3" customFormat="1" ht="12.2" customHeight="1" x14ac:dyDescent="0.15">
      <c r="A226" s="1" t="s">
        <v>447</v>
      </c>
      <c r="B226" s="2" t="s">
        <v>346</v>
      </c>
      <c r="C226" s="2" t="s">
        <v>299</v>
      </c>
      <c r="D226" s="2" t="s">
        <v>431</v>
      </c>
      <c r="E226" s="6">
        <v>2600</v>
      </c>
      <c r="F226" s="18">
        <v>191178.98</v>
      </c>
      <c r="G226" s="18">
        <v>63262.62</v>
      </c>
      <c r="H226" s="18">
        <v>220236.31</v>
      </c>
      <c r="I226" s="18">
        <f>5467.55+119783.02</f>
        <v>125250.57</v>
      </c>
      <c r="J226" s="18">
        <v>16442.79</v>
      </c>
      <c r="K226" s="18">
        <v>0</v>
      </c>
      <c r="L226" s="19">
        <f t="shared" si="2"/>
        <v>616371.27</v>
      </c>
      <c r="M226" s="8"/>
      <c r="N226" s="264"/>
    </row>
    <row r="227" spans="1:14" s="3" customFormat="1" ht="12.2" customHeight="1" x14ac:dyDescent="0.15">
      <c r="A227" s="1" t="s">
        <v>448</v>
      </c>
      <c r="B227" s="2" t="s">
        <v>346</v>
      </c>
      <c r="C227" s="2" t="s">
        <v>300</v>
      </c>
      <c r="D227" s="2" t="s">
        <v>431</v>
      </c>
      <c r="E227" s="6">
        <v>2700</v>
      </c>
      <c r="F227" s="18">
        <v>0</v>
      </c>
      <c r="G227" s="18">
        <v>0</v>
      </c>
      <c r="H227" s="18">
        <v>252153.08</v>
      </c>
      <c r="I227" s="18">
        <v>0</v>
      </c>
      <c r="J227" s="18">
        <v>0</v>
      </c>
      <c r="K227" s="18">
        <v>0</v>
      </c>
      <c r="L227" s="19">
        <f t="shared" si="2"/>
        <v>252153.08</v>
      </c>
      <c r="M227" s="8"/>
      <c r="N227" s="264"/>
    </row>
    <row r="228" spans="1:14" s="3" customFormat="1" ht="12.2" customHeight="1" x14ac:dyDescent="0.15">
      <c r="A228" s="1" t="s">
        <v>449</v>
      </c>
      <c r="B228" s="2" t="s">
        <v>346</v>
      </c>
      <c r="C228" s="2" t="s">
        <v>343</v>
      </c>
      <c r="D228" s="2" t="s">
        <v>431</v>
      </c>
      <c r="E228" s="6">
        <v>2800</v>
      </c>
      <c r="F228" s="18">
        <v>105803.6</v>
      </c>
      <c r="G228" s="18">
        <v>50895.32</v>
      </c>
      <c r="H228" s="18">
        <v>60149.08</v>
      </c>
      <c r="I228" s="18">
        <v>32147.97</v>
      </c>
      <c r="J228" s="18">
        <v>41789.279999999999</v>
      </c>
      <c r="K228" s="18">
        <v>1621.62</v>
      </c>
      <c r="L228" s="19">
        <f>SUM(F228:K228)</f>
        <v>292406.87</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3894492.39</v>
      </c>
      <c r="G230" s="41">
        <f>SUM(G216:G229)</f>
        <v>1633124.6700000004</v>
      </c>
      <c r="H230" s="41">
        <f>SUM(H216:H229)</f>
        <v>801707.58</v>
      </c>
      <c r="I230" s="41">
        <f>SUM(I216:I229)</f>
        <v>243114.48</v>
      </c>
      <c r="J230" s="41">
        <f>SUM(J216:J229)</f>
        <v>104025.99</v>
      </c>
      <c r="K230" s="41">
        <f t="shared" si="3"/>
        <v>15835.260000000002</v>
      </c>
      <c r="L230" s="41">
        <f t="shared" si="3"/>
        <v>6692300.3700000001</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1765163.54</v>
      </c>
      <c r="G234" s="18">
        <v>687104.89</v>
      </c>
      <c r="H234" s="18">
        <v>18158.7</v>
      </c>
      <c r="I234" s="18">
        <f>63.4+65701.7</f>
        <v>65765.099999999991</v>
      </c>
      <c r="J234" s="18">
        <v>29552.94</v>
      </c>
      <c r="K234" s="18">
        <v>2603.69</v>
      </c>
      <c r="L234" s="19">
        <f>SUM(F234:K234)</f>
        <v>2568348.8600000003</v>
      </c>
      <c r="M234" s="8"/>
      <c r="N234" s="264"/>
    </row>
    <row r="235" spans="1:14" s="3" customFormat="1" ht="12.2" customHeight="1" x14ac:dyDescent="0.15">
      <c r="A235" s="1" t="s">
        <v>439</v>
      </c>
      <c r="B235" s="2" t="s">
        <v>350</v>
      </c>
      <c r="C235" s="2" t="s">
        <v>291</v>
      </c>
      <c r="D235" s="2" t="s">
        <v>431</v>
      </c>
      <c r="E235" s="6">
        <v>1200</v>
      </c>
      <c r="F235" s="18">
        <v>477308.2</v>
      </c>
      <c r="G235" s="18">
        <v>199406.98</v>
      </c>
      <c r="H235" s="18">
        <v>140453.29</v>
      </c>
      <c r="I235" s="18">
        <v>5563.09</v>
      </c>
      <c r="J235" s="18">
        <v>5530.91</v>
      </c>
      <c r="K235" s="18">
        <v>2823.23</v>
      </c>
      <c r="L235" s="19">
        <f>SUM(F235:K235)</f>
        <v>831085.70000000007</v>
      </c>
      <c r="M235" s="8"/>
      <c r="N235" s="264"/>
    </row>
    <row r="236" spans="1:14" s="3" customFormat="1" ht="12.2" customHeight="1" x14ac:dyDescent="0.15">
      <c r="A236" s="1" t="s">
        <v>440</v>
      </c>
      <c r="B236" s="2" t="s">
        <v>350</v>
      </c>
      <c r="C236" s="2" t="s">
        <v>292</v>
      </c>
      <c r="D236" s="2" t="s">
        <v>431</v>
      </c>
      <c r="E236" s="6">
        <v>1300</v>
      </c>
      <c r="F236" s="18">
        <v>0</v>
      </c>
      <c r="G236" s="18">
        <v>0</v>
      </c>
      <c r="H236" s="18">
        <v>29806.63</v>
      </c>
      <c r="I236" s="18">
        <v>0</v>
      </c>
      <c r="J236" s="18">
        <v>0</v>
      </c>
      <c r="K236" s="18">
        <v>0</v>
      </c>
      <c r="L236" s="19">
        <f>SUM(F236:K236)</f>
        <v>29806.63</v>
      </c>
      <c r="M236" s="8"/>
      <c r="N236" s="264"/>
    </row>
    <row r="237" spans="1:14" s="3" customFormat="1" ht="12.2" customHeight="1" x14ac:dyDescent="0.15">
      <c r="A237" s="1" t="s">
        <v>441</v>
      </c>
      <c r="B237" s="2" t="s">
        <v>350</v>
      </c>
      <c r="C237" s="2" t="s">
        <v>293</v>
      </c>
      <c r="D237" s="2" t="s">
        <v>431</v>
      </c>
      <c r="E237" s="6">
        <v>1400</v>
      </c>
      <c r="F237" s="18">
        <v>259141.2</v>
      </c>
      <c r="G237" s="18">
        <v>66000.210000000006</v>
      </c>
      <c r="H237" s="18">
        <v>49858.86</v>
      </c>
      <c r="I237" s="18">
        <f>-1919+48588.52</f>
        <v>46669.52</v>
      </c>
      <c r="J237" s="18">
        <v>6200</v>
      </c>
      <c r="K237" s="18">
        <v>13845.95</v>
      </c>
      <c r="L237" s="19">
        <f>SUM(F237:K237)</f>
        <v>441715.74000000005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489242.67</v>
      </c>
      <c r="G239" s="18">
        <v>188682.15</v>
      </c>
      <c r="H239" s="18">
        <f>4410+56975.51</f>
        <v>61385.51</v>
      </c>
      <c r="I239" s="18">
        <f>18.99+5907.44</f>
        <v>5926.4299999999994</v>
      </c>
      <c r="J239" s="18">
        <v>1183.08</v>
      </c>
      <c r="K239" s="18">
        <v>812</v>
      </c>
      <c r="L239" s="19">
        <f t="shared" ref="L239:L245" si="4">SUM(F239:K239)</f>
        <v>747231.84</v>
      </c>
      <c r="M239" s="8"/>
      <c r="N239" s="264"/>
    </row>
    <row r="240" spans="1:14" s="3" customFormat="1" ht="12.2" customHeight="1" x14ac:dyDescent="0.15">
      <c r="A240" s="1" t="s">
        <v>443</v>
      </c>
      <c r="B240" s="2" t="s">
        <v>350</v>
      </c>
      <c r="C240" s="2" t="s">
        <v>295</v>
      </c>
      <c r="D240" s="2" t="s">
        <v>431</v>
      </c>
      <c r="E240" s="6">
        <v>2200</v>
      </c>
      <c r="F240" s="18">
        <v>103388.77</v>
      </c>
      <c r="G240" s="18">
        <v>72078.179999999993</v>
      </c>
      <c r="H240" s="18">
        <v>5314.13</v>
      </c>
      <c r="I240" s="18">
        <f>-119.26+54850.53</f>
        <v>54731.27</v>
      </c>
      <c r="J240" s="18">
        <v>51845.58</v>
      </c>
      <c r="K240" s="18">
        <v>50</v>
      </c>
      <c r="L240" s="19">
        <f t="shared" si="4"/>
        <v>287407.93</v>
      </c>
      <c r="M240" s="8"/>
      <c r="N240" s="264"/>
    </row>
    <row r="241" spans="1:14" s="3" customFormat="1" ht="12.2" customHeight="1" x14ac:dyDescent="0.15">
      <c r="A241" s="1" t="s">
        <v>444</v>
      </c>
      <c r="B241" s="2" t="s">
        <v>350</v>
      </c>
      <c r="C241" s="2" t="s">
        <v>296</v>
      </c>
      <c r="D241" s="2" t="s">
        <v>431</v>
      </c>
      <c r="E241" s="6">
        <v>2300</v>
      </c>
      <c r="F241" s="18">
        <v>140102.35</v>
      </c>
      <c r="G241" s="18">
        <v>57841.95</v>
      </c>
      <c r="H241" s="18">
        <v>19886.53</v>
      </c>
      <c r="I241" s="18">
        <v>1461.19</v>
      </c>
      <c r="J241" s="18">
        <v>938.37</v>
      </c>
      <c r="K241" s="18">
        <v>5633.1</v>
      </c>
      <c r="L241" s="19">
        <f t="shared" si="4"/>
        <v>225863.49</v>
      </c>
      <c r="M241" s="8"/>
      <c r="N241" s="264"/>
    </row>
    <row r="242" spans="1:14" s="3" customFormat="1" ht="12.2" customHeight="1" x14ac:dyDescent="0.15">
      <c r="A242" s="1" t="s">
        <v>445</v>
      </c>
      <c r="B242" s="2" t="s">
        <v>350</v>
      </c>
      <c r="C242" s="2" t="s">
        <v>297</v>
      </c>
      <c r="D242" s="2" t="s">
        <v>431</v>
      </c>
      <c r="E242" s="6">
        <v>2400</v>
      </c>
      <c r="F242" s="18">
        <v>292968.14</v>
      </c>
      <c r="G242" s="18">
        <v>93895.25</v>
      </c>
      <c r="H242" s="18">
        <v>4780.93</v>
      </c>
      <c r="I242" s="18">
        <v>1672.56</v>
      </c>
      <c r="J242" s="18">
        <v>0</v>
      </c>
      <c r="K242" s="18">
        <v>16043.54</v>
      </c>
      <c r="L242" s="19">
        <f t="shared" si="4"/>
        <v>409360.42</v>
      </c>
      <c r="M242" s="8"/>
      <c r="N242" s="264"/>
    </row>
    <row r="243" spans="1:14" s="3" customFormat="1" ht="12.2" customHeight="1" x14ac:dyDescent="0.15">
      <c r="A243" s="1" t="s">
        <v>446</v>
      </c>
      <c r="B243" s="2" t="s">
        <v>350</v>
      </c>
      <c r="C243" s="2" t="s">
        <v>298</v>
      </c>
      <c r="D243" s="2" t="s">
        <v>431</v>
      </c>
      <c r="E243" s="6">
        <v>2500</v>
      </c>
      <c r="F243" s="18">
        <v>51777.89</v>
      </c>
      <c r="G243" s="18">
        <v>24860.73</v>
      </c>
      <c r="H243" s="18">
        <v>22036.76</v>
      </c>
      <c r="I243" s="18">
        <v>4444.72</v>
      </c>
      <c r="J243" s="18">
        <v>0</v>
      </c>
      <c r="K243" s="18">
        <v>550.80999999999995</v>
      </c>
      <c r="L243" s="19">
        <f t="shared" si="4"/>
        <v>103670.90999999999</v>
      </c>
      <c r="M243" s="8"/>
      <c r="N243" s="264"/>
    </row>
    <row r="244" spans="1:14" s="3" customFormat="1" ht="12.2" customHeight="1" x14ac:dyDescent="0.15">
      <c r="A244" s="1" t="s">
        <v>447</v>
      </c>
      <c r="B244" s="2" t="s">
        <v>350</v>
      </c>
      <c r="C244" s="2" t="s">
        <v>299</v>
      </c>
      <c r="D244" s="2" t="s">
        <v>431</v>
      </c>
      <c r="E244" s="6">
        <v>2600</v>
      </c>
      <c r="F244" s="18">
        <v>216071.18</v>
      </c>
      <c r="G244" s="18">
        <v>73780.23</v>
      </c>
      <c r="H244" s="18">
        <f>2250.5+285798.47</f>
        <v>288048.96999999997</v>
      </c>
      <c r="I244" s="18">
        <f>9447.27+181287.64</f>
        <v>190734.91</v>
      </c>
      <c r="J244" s="18">
        <v>11093.66</v>
      </c>
      <c r="K244" s="18">
        <v>0</v>
      </c>
      <c r="L244" s="19">
        <f t="shared" si="4"/>
        <v>779728.95</v>
      </c>
      <c r="M244" s="8"/>
      <c r="N244" s="264"/>
    </row>
    <row r="245" spans="1:14" s="3" customFormat="1" ht="12.2" customHeight="1" x14ac:dyDescent="0.15">
      <c r="A245" s="1" t="s">
        <v>448</v>
      </c>
      <c r="B245" s="2" t="s">
        <v>350</v>
      </c>
      <c r="C245" s="2" t="s">
        <v>300</v>
      </c>
      <c r="D245" s="2" t="s">
        <v>431</v>
      </c>
      <c r="E245" s="6">
        <v>2700</v>
      </c>
      <c r="F245" s="18">
        <v>0</v>
      </c>
      <c r="G245" s="18">
        <v>0</v>
      </c>
      <c r="H245" s="18">
        <v>348442.24</v>
      </c>
      <c r="I245" s="18">
        <v>0</v>
      </c>
      <c r="J245" s="18">
        <v>0</v>
      </c>
      <c r="K245" s="18">
        <v>0</v>
      </c>
      <c r="L245" s="19">
        <f t="shared" si="4"/>
        <v>348442.24</v>
      </c>
      <c r="M245" s="8"/>
      <c r="N245" s="264"/>
    </row>
    <row r="246" spans="1:14" s="3" customFormat="1" ht="12.2" customHeight="1" x14ac:dyDescent="0.15">
      <c r="A246" s="1" t="s">
        <v>449</v>
      </c>
      <c r="B246" s="2" t="s">
        <v>350</v>
      </c>
      <c r="C246" s="2" t="s">
        <v>343</v>
      </c>
      <c r="D246" s="2" t="s">
        <v>431</v>
      </c>
      <c r="E246" s="6">
        <v>2800</v>
      </c>
      <c r="F246" s="18">
        <v>128601.06</v>
      </c>
      <c r="G246" s="18">
        <v>61861.71</v>
      </c>
      <c r="H246" s="18">
        <v>73996.710000000006</v>
      </c>
      <c r="I246" s="18">
        <v>34797.949999999997</v>
      </c>
      <c r="J246" s="18">
        <v>45345.06</v>
      </c>
      <c r="K246" s="18">
        <v>1971.03</v>
      </c>
      <c r="L246" s="19">
        <f>SUM(F246:K246)</f>
        <v>346573.52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3923765.0000000009</v>
      </c>
      <c r="G248" s="41">
        <f t="shared" si="5"/>
        <v>1525512.2799999998</v>
      </c>
      <c r="H248" s="41">
        <f t="shared" si="5"/>
        <v>1062169.26</v>
      </c>
      <c r="I248" s="41">
        <f t="shared" si="5"/>
        <v>411766.74</v>
      </c>
      <c r="J248" s="41">
        <f t="shared" si="5"/>
        <v>151689.60000000001</v>
      </c>
      <c r="K248" s="41">
        <f t="shared" si="5"/>
        <v>44333.35</v>
      </c>
      <c r="L248" s="41">
        <f t="shared" si="5"/>
        <v>7119236.2300000004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12066731.75</v>
      </c>
      <c r="G258" s="41">
        <f t="shared" si="8"/>
        <v>4922113.24</v>
      </c>
      <c r="H258" s="41">
        <f t="shared" si="8"/>
        <v>2684175.94</v>
      </c>
      <c r="I258" s="41">
        <f t="shared" si="8"/>
        <v>970785.99</v>
      </c>
      <c r="J258" s="41">
        <f t="shared" si="8"/>
        <v>416482.11</v>
      </c>
      <c r="K258" s="41">
        <f t="shared" si="8"/>
        <v>76813.320000000007</v>
      </c>
      <c r="L258" s="41">
        <f t="shared" si="8"/>
        <v>21137102.350000001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145839.9</v>
      </c>
      <c r="L264" s="19">
        <f>SUM(F264:K264)</f>
        <v>145839.9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810310</v>
      </c>
      <c r="L266" s="19">
        <f t="shared" si="9"/>
        <v>810310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878432</v>
      </c>
      <c r="L267" s="19">
        <f t="shared" si="9"/>
        <v>878432</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1834581.9</v>
      </c>
      <c r="L271" s="41">
        <f t="shared" si="9"/>
        <v>1834581.9</v>
      </c>
      <c r="M271" s="8"/>
      <c r="N271" s="264"/>
    </row>
    <row r="272" spans="1:14" s="34" customFormat="1" ht="12.2" customHeight="1" thickTop="1" x14ac:dyDescent="0.2">
      <c r="A272" s="43" t="s">
        <v>464</v>
      </c>
      <c r="B272" s="40">
        <v>10</v>
      </c>
      <c r="C272" s="40">
        <v>18</v>
      </c>
      <c r="D272" s="39" t="s">
        <v>431</v>
      </c>
      <c r="E272" s="40"/>
      <c r="F272" s="42">
        <f t="shared" ref="F272:L272" si="11">F258+F271</f>
        <v>12066731.75</v>
      </c>
      <c r="G272" s="42">
        <f t="shared" si="11"/>
        <v>4922113.24</v>
      </c>
      <c r="H272" s="42">
        <f t="shared" si="11"/>
        <v>2684175.94</v>
      </c>
      <c r="I272" s="42">
        <f t="shared" si="11"/>
        <v>970785.99</v>
      </c>
      <c r="J272" s="42">
        <f t="shared" si="11"/>
        <v>416482.11</v>
      </c>
      <c r="K272" s="42">
        <f t="shared" si="11"/>
        <v>1911395.22</v>
      </c>
      <c r="L272" s="42">
        <f t="shared" si="11"/>
        <v>22971684.25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16081.81</v>
      </c>
      <c r="G277" s="18">
        <v>1275.6600000000001</v>
      </c>
      <c r="H277" s="18">
        <v>13.31</v>
      </c>
      <c r="I277" s="18">
        <v>44.69</v>
      </c>
      <c r="J277" s="18">
        <v>14600.92</v>
      </c>
      <c r="K277" s="18">
        <v>0</v>
      </c>
      <c r="L277" s="19">
        <f>SUM(F277:K277)</f>
        <v>32016.39</v>
      </c>
      <c r="M277" s="8"/>
      <c r="N277" s="264"/>
    </row>
    <row r="278" spans="1:14" s="3" customFormat="1" ht="12.2" customHeight="1" x14ac:dyDescent="0.15">
      <c r="A278" s="1" t="s">
        <v>439</v>
      </c>
      <c r="B278" s="2" t="s">
        <v>357</v>
      </c>
      <c r="C278" s="2" t="s">
        <v>291</v>
      </c>
      <c r="D278" s="2" t="s">
        <v>431</v>
      </c>
      <c r="E278" s="6">
        <v>1200</v>
      </c>
      <c r="F278" s="18">
        <v>41726.14</v>
      </c>
      <c r="G278" s="18">
        <v>13871.45</v>
      </c>
      <c r="H278" s="18">
        <v>18861.099999999999</v>
      </c>
      <c r="I278" s="18">
        <v>0</v>
      </c>
      <c r="J278" s="18">
        <v>3300.96</v>
      </c>
      <c r="K278" s="18">
        <v>0</v>
      </c>
      <c r="L278" s="19">
        <f>SUM(F278:K278)</f>
        <v>77759.650000000009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11006.99</v>
      </c>
      <c r="G282" s="18">
        <v>1081.1300000000001</v>
      </c>
      <c r="H282" s="18">
        <v>16431.97</v>
      </c>
      <c r="I282" s="18">
        <v>0</v>
      </c>
      <c r="J282" s="18">
        <v>0</v>
      </c>
      <c r="K282" s="18">
        <v>0</v>
      </c>
      <c r="L282" s="19">
        <f t="shared" ref="L282:L288" si="12">SUM(F282:K282)</f>
        <v>28520.09</v>
      </c>
      <c r="M282" s="8"/>
      <c r="N282" s="264"/>
    </row>
    <row r="283" spans="1:14" s="3" customFormat="1" ht="12.2" customHeight="1" x14ac:dyDescent="0.15">
      <c r="A283" s="1" t="s">
        <v>443</v>
      </c>
      <c r="B283" s="2" t="s">
        <v>357</v>
      </c>
      <c r="C283" s="2" t="s">
        <v>295</v>
      </c>
      <c r="D283" s="2" t="s">
        <v>431</v>
      </c>
      <c r="E283" s="6">
        <v>2200</v>
      </c>
      <c r="F283" s="18">
        <v>2888.34</v>
      </c>
      <c r="G283" s="18">
        <v>731.34</v>
      </c>
      <c r="H283" s="18">
        <v>4859.83</v>
      </c>
      <c r="I283" s="18">
        <v>456.68</v>
      </c>
      <c r="J283" s="18">
        <v>0</v>
      </c>
      <c r="K283" s="18">
        <v>0</v>
      </c>
      <c r="L283" s="19">
        <f t="shared" si="12"/>
        <v>8936.19</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71703.28</v>
      </c>
      <c r="G291" s="42">
        <f t="shared" si="13"/>
        <v>16959.580000000002</v>
      </c>
      <c r="H291" s="42">
        <f t="shared" si="13"/>
        <v>40166.210000000006</v>
      </c>
      <c r="I291" s="42">
        <f t="shared" si="13"/>
        <v>501.37</v>
      </c>
      <c r="J291" s="42">
        <f t="shared" si="13"/>
        <v>17901.88</v>
      </c>
      <c r="K291" s="42">
        <f t="shared" si="13"/>
        <v>0</v>
      </c>
      <c r="L291" s="41">
        <f t="shared" si="13"/>
        <v>147232.32000000001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12086.31</v>
      </c>
      <c r="G296" s="18">
        <v>958.73</v>
      </c>
      <c r="H296" s="18">
        <v>10</v>
      </c>
      <c r="I296" s="18">
        <v>33.590000000000003</v>
      </c>
      <c r="J296" s="18">
        <v>10973.34</v>
      </c>
      <c r="K296" s="18">
        <v>0</v>
      </c>
      <c r="L296" s="19">
        <f>SUM(F296:K296)</f>
        <v>24061.97</v>
      </c>
      <c r="M296" s="8"/>
      <c r="N296" s="264"/>
    </row>
    <row r="297" spans="1:14" s="3" customFormat="1" ht="12.2" customHeight="1" x14ac:dyDescent="0.15">
      <c r="A297" s="1" t="s">
        <v>439</v>
      </c>
      <c r="B297" s="2" t="s">
        <v>358</v>
      </c>
      <c r="C297" s="2" t="s">
        <v>291</v>
      </c>
      <c r="D297" s="2" t="s">
        <v>431</v>
      </c>
      <c r="E297" s="6">
        <v>1200</v>
      </c>
      <c r="F297" s="18">
        <v>31359.35</v>
      </c>
      <c r="G297" s="18">
        <v>10425.11</v>
      </c>
      <c r="H297" s="18">
        <v>14175.09</v>
      </c>
      <c r="I297" s="18">
        <v>0</v>
      </c>
      <c r="J297" s="18">
        <v>2480.84</v>
      </c>
      <c r="K297" s="18">
        <v>0</v>
      </c>
      <c r="L297" s="19">
        <f>SUM(F297:K297)</f>
        <v>58440.39</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74272.320000000007</v>
      </c>
      <c r="G301" s="18">
        <v>34352.519999999997</v>
      </c>
      <c r="H301" s="18">
        <v>12349.47</v>
      </c>
      <c r="I301" s="18">
        <v>0</v>
      </c>
      <c r="J301" s="18">
        <v>0</v>
      </c>
      <c r="K301" s="18">
        <v>0</v>
      </c>
      <c r="L301" s="19">
        <f t="shared" ref="L301:L307" si="14">SUM(F301:K301)</f>
        <v>120974.31</v>
      </c>
      <c r="M301" s="8"/>
      <c r="N301" s="264"/>
    </row>
    <row r="302" spans="1:14" s="3" customFormat="1" ht="12.2" customHeight="1" x14ac:dyDescent="0.15">
      <c r="A302" s="1" t="s">
        <v>443</v>
      </c>
      <c r="B302" s="2" t="s">
        <v>358</v>
      </c>
      <c r="C302" s="2" t="s">
        <v>295</v>
      </c>
      <c r="D302" s="2" t="s">
        <v>431</v>
      </c>
      <c r="E302" s="6">
        <v>2200</v>
      </c>
      <c r="F302" s="18">
        <v>2170.7399999999998</v>
      </c>
      <c r="G302" s="18">
        <v>549.64</v>
      </c>
      <c r="H302" s="18">
        <v>3652.41</v>
      </c>
      <c r="I302" s="18">
        <v>343.22</v>
      </c>
      <c r="J302" s="18">
        <v>0</v>
      </c>
      <c r="K302" s="18">
        <v>0</v>
      </c>
      <c r="L302" s="19">
        <f t="shared" si="14"/>
        <v>6716.0099999999993</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119888.72000000002</v>
      </c>
      <c r="G310" s="42">
        <f t="shared" si="15"/>
        <v>46286</v>
      </c>
      <c r="H310" s="42">
        <f t="shared" si="15"/>
        <v>30186.969999999998</v>
      </c>
      <c r="I310" s="42">
        <f t="shared" si="15"/>
        <v>376.81000000000006</v>
      </c>
      <c r="J310" s="42">
        <f t="shared" si="15"/>
        <v>13454.18</v>
      </c>
      <c r="K310" s="42">
        <f t="shared" si="15"/>
        <v>0</v>
      </c>
      <c r="L310" s="41">
        <f t="shared" si="15"/>
        <v>210192.68</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10806.77</v>
      </c>
      <c r="G315" s="18">
        <v>857.23</v>
      </c>
      <c r="H315" s="18">
        <v>8.94</v>
      </c>
      <c r="I315" s="18">
        <v>30.03</v>
      </c>
      <c r="J315" s="18">
        <v>9811.6200000000008</v>
      </c>
      <c r="K315" s="18">
        <v>0</v>
      </c>
      <c r="L315" s="19">
        <f>SUM(F315:K315)</f>
        <v>21514.590000000004</v>
      </c>
      <c r="M315" s="8"/>
      <c r="N315" s="264"/>
    </row>
    <row r="316" spans="1:14" s="3" customFormat="1" ht="12.2" customHeight="1" x14ac:dyDescent="0.15">
      <c r="A316" s="1" t="s">
        <v>439</v>
      </c>
      <c r="B316" s="2" t="s">
        <v>359</v>
      </c>
      <c r="C316" s="2" t="s">
        <v>291</v>
      </c>
      <c r="D316" s="2" t="s">
        <v>431</v>
      </c>
      <c r="E316" s="6">
        <v>1200</v>
      </c>
      <c r="F316" s="18">
        <v>28039.42</v>
      </c>
      <c r="G316" s="18">
        <v>9321.43</v>
      </c>
      <c r="H316" s="18">
        <v>12674.41</v>
      </c>
      <c r="I316" s="18">
        <v>0</v>
      </c>
      <c r="J316" s="18">
        <v>2218.1999999999998</v>
      </c>
      <c r="K316" s="18">
        <v>0</v>
      </c>
      <c r="L316" s="19">
        <f>SUM(F316:K316)</f>
        <v>52253.459999999992</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7396.58</v>
      </c>
      <c r="G320" s="18">
        <v>726.5</v>
      </c>
      <c r="H320" s="18">
        <v>11042.07</v>
      </c>
      <c r="I320" s="18">
        <v>0</v>
      </c>
      <c r="J320" s="18">
        <v>0</v>
      </c>
      <c r="K320" s="18">
        <v>0</v>
      </c>
      <c r="L320" s="19">
        <f t="shared" ref="L320:L326" si="16">SUM(F320:K320)</f>
        <v>19165.150000000001</v>
      </c>
      <c r="M320" s="8"/>
      <c r="N320" s="264"/>
    </row>
    <row r="321" spans="1:14" s="3" customFormat="1" ht="12.2" customHeight="1" x14ac:dyDescent="0.15">
      <c r="A321" s="1" t="s">
        <v>443</v>
      </c>
      <c r="B321" s="2" t="s">
        <v>359</v>
      </c>
      <c r="C321" s="2" t="s">
        <v>295</v>
      </c>
      <c r="D321" s="2" t="s">
        <v>431</v>
      </c>
      <c r="E321" s="6">
        <v>2200</v>
      </c>
      <c r="F321" s="18">
        <v>1940.93</v>
      </c>
      <c r="G321" s="18">
        <v>491.45</v>
      </c>
      <c r="H321" s="18">
        <v>3265.74</v>
      </c>
      <c r="I321" s="18">
        <v>306.88</v>
      </c>
      <c r="J321" s="18">
        <v>0</v>
      </c>
      <c r="K321" s="18">
        <v>0</v>
      </c>
      <c r="L321" s="19">
        <f t="shared" si="16"/>
        <v>6005</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48183.700000000004</v>
      </c>
      <c r="G329" s="42">
        <f t="shared" si="17"/>
        <v>11396.61</v>
      </c>
      <c r="H329" s="42">
        <f t="shared" si="17"/>
        <v>26991.159999999996</v>
      </c>
      <c r="I329" s="42">
        <f t="shared" si="17"/>
        <v>336.90999999999997</v>
      </c>
      <c r="J329" s="42">
        <f t="shared" si="17"/>
        <v>12029.82</v>
      </c>
      <c r="K329" s="42">
        <f t="shared" si="17"/>
        <v>0</v>
      </c>
      <c r="L329" s="41">
        <f t="shared" si="17"/>
        <v>98938.199999999983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239775.7</v>
      </c>
      <c r="G339" s="41">
        <f t="shared" si="20"/>
        <v>74642.19</v>
      </c>
      <c r="H339" s="41">
        <f t="shared" si="20"/>
        <v>97344.34</v>
      </c>
      <c r="I339" s="41">
        <f t="shared" si="20"/>
        <v>1215.0900000000001</v>
      </c>
      <c r="J339" s="41">
        <f t="shared" si="20"/>
        <v>43385.880000000005</v>
      </c>
      <c r="K339" s="41">
        <f t="shared" si="20"/>
        <v>0</v>
      </c>
      <c r="L339" s="41">
        <f t="shared" si="20"/>
        <v>456363.19999999995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239775.7</v>
      </c>
      <c r="G353" s="41">
        <f>G339</f>
        <v>74642.19</v>
      </c>
      <c r="H353" s="41">
        <f>H339</f>
        <v>97344.34</v>
      </c>
      <c r="I353" s="41">
        <f>I339</f>
        <v>1215.0900000000001</v>
      </c>
      <c r="J353" s="41">
        <f>J339</f>
        <v>43385.880000000005</v>
      </c>
      <c r="K353" s="47">
        <f>K339+K352</f>
        <v>0</v>
      </c>
      <c r="L353" s="41">
        <f>L339+L352</f>
        <v>456363.19999999995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68378.929999999993</v>
      </c>
      <c r="G359" s="18">
        <v>14608.45</v>
      </c>
      <c r="H359" s="18">
        <v>8551.73</v>
      </c>
      <c r="I359" s="18">
        <f>0.12+62529.8744417278</f>
        <v>62529.994441727802</v>
      </c>
      <c r="J359" s="18">
        <v>2642</v>
      </c>
      <c r="K359" s="18">
        <v>407.26</v>
      </c>
      <c r="L359" s="13">
        <f>SUM(F359:K359)</f>
        <v>157118.36444172781</v>
      </c>
      <c r="M359" s="8"/>
      <c r="N359" s="264"/>
    </row>
    <row r="360" spans="1:22" s="3" customFormat="1" ht="12.2" customHeight="1" x14ac:dyDescent="0.15">
      <c r="A360" s="1" t="s">
        <v>542</v>
      </c>
      <c r="B360" s="2" t="s">
        <v>366</v>
      </c>
      <c r="C360" s="6">
        <v>2</v>
      </c>
      <c r="D360" s="2" t="s">
        <v>431</v>
      </c>
      <c r="E360" s="6"/>
      <c r="F360" s="18">
        <v>69261.81</v>
      </c>
      <c r="G360" s="18">
        <v>36637.120000000003</v>
      </c>
      <c r="H360" s="18">
        <v>8183.97</v>
      </c>
      <c r="I360" s="18">
        <v>58423.205077424616</v>
      </c>
      <c r="J360" s="18">
        <v>2960.74</v>
      </c>
      <c r="K360" s="18">
        <v>399.63</v>
      </c>
      <c r="L360" s="19">
        <f>SUM(F360:K360)</f>
        <v>175866.47507742461</v>
      </c>
      <c r="M360" s="8"/>
      <c r="N360" s="264"/>
    </row>
    <row r="361" spans="1:22" s="3" customFormat="1" ht="12.2" customHeight="1" x14ac:dyDescent="0.15">
      <c r="A361" s="3" t="s">
        <v>543</v>
      </c>
      <c r="B361" s="2" t="s">
        <v>366</v>
      </c>
      <c r="C361" s="6">
        <v>3</v>
      </c>
      <c r="D361" s="2" t="s">
        <v>431</v>
      </c>
      <c r="E361" s="6"/>
      <c r="F361" s="18">
        <v>61329.16</v>
      </c>
      <c r="G361" s="18">
        <v>36505.870000000003</v>
      </c>
      <c r="H361" s="18">
        <v>9294.81</v>
      </c>
      <c r="I361" s="18">
        <v>66131.280480847592</v>
      </c>
      <c r="J361" s="18">
        <v>2420</v>
      </c>
      <c r="K361" s="18">
        <v>283.54000000000002</v>
      </c>
      <c r="L361" s="19">
        <f>SUM(F361:K361)</f>
        <v>175964.66048084761</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198969.9</v>
      </c>
      <c r="G363" s="47">
        <f t="shared" si="22"/>
        <v>87751.44</v>
      </c>
      <c r="H363" s="47">
        <f t="shared" si="22"/>
        <v>26030.510000000002</v>
      </c>
      <c r="I363" s="47">
        <f t="shared" si="22"/>
        <v>187084.48</v>
      </c>
      <c r="J363" s="47">
        <f t="shared" si="22"/>
        <v>8022.74</v>
      </c>
      <c r="K363" s="47">
        <f t="shared" si="22"/>
        <v>1090.43</v>
      </c>
      <c r="L363" s="47">
        <f t="shared" si="22"/>
        <v>508949.5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54126.238842705789</v>
      </c>
      <c r="G368" s="18">
        <v>51365.749649551755</v>
      </c>
      <c r="H368" s="18">
        <v>57922.401507742456</v>
      </c>
      <c r="I368" s="56">
        <f>SUM(F368:H368)</f>
        <v>163414.39000000001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0.12+8403.635599022</f>
        <v>8403.7555990220008</v>
      </c>
      <c r="G369" s="63">
        <v>7057.455427872861</v>
      </c>
      <c r="H369" s="63">
        <v>8208.8789731051365</v>
      </c>
      <c r="I369" s="56">
        <f>SUM(F369:H369)</f>
        <v>23670.089999999997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62529.994441727787</v>
      </c>
      <c r="G370" s="47">
        <f>SUM(G368:G369)</f>
        <v>58423.205077424616</v>
      </c>
      <c r="H370" s="47">
        <f>SUM(H368:H369)</f>
        <v>66131.280480847592</v>
      </c>
      <c r="I370" s="47">
        <f>SUM(I368:I369)</f>
        <v>187084.48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f>-309700+749936.19</f>
        <v>440236.18999999994</v>
      </c>
      <c r="I380" s="18"/>
      <c r="J380" s="18"/>
      <c r="K380" s="18"/>
      <c r="L380" s="13">
        <f t="shared" si="23"/>
        <v>440236.18999999994</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440236.18999999994</v>
      </c>
      <c r="I383" s="41">
        <f t="shared" si="24"/>
        <v>0</v>
      </c>
      <c r="J383" s="47">
        <f t="shared" si="24"/>
        <v>0</v>
      </c>
      <c r="K383" s="47">
        <f t="shared" si="24"/>
        <v>0</v>
      </c>
      <c r="L383" s="47">
        <f t="shared" si="24"/>
        <v>440236.18999999994</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f>70000+659432</f>
        <v>729432</v>
      </c>
      <c r="H397" s="18">
        <v>1198.93</v>
      </c>
      <c r="I397" s="18"/>
      <c r="J397" s="24" t="s">
        <v>288</v>
      </c>
      <c r="K397" s="24" t="s">
        <v>288</v>
      </c>
      <c r="L397" s="56">
        <f t="shared" si="26"/>
        <v>730630.93</v>
      </c>
      <c r="M397" s="8"/>
      <c r="N397" s="264"/>
    </row>
    <row r="398" spans="1:14" s="3" customFormat="1" ht="12.2" customHeight="1" x14ac:dyDescent="0.15">
      <c r="A398" s="79" t="s">
        <v>515</v>
      </c>
      <c r="B398" s="2" t="s">
        <v>381</v>
      </c>
      <c r="C398" s="6">
        <v>10</v>
      </c>
      <c r="D398" s="2" t="s">
        <v>432</v>
      </c>
      <c r="E398" s="6"/>
      <c r="F398" s="18"/>
      <c r="G398" s="18">
        <v>50000</v>
      </c>
      <c r="H398" s="18">
        <v>244.72</v>
      </c>
      <c r="I398" s="18"/>
      <c r="J398" s="24" t="s">
        <v>288</v>
      </c>
      <c r="K398" s="24" t="s">
        <v>288</v>
      </c>
      <c r="L398" s="56">
        <f t="shared" si="26"/>
        <v>50244.72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0</v>
      </c>
      <c r="H400" s="18">
        <v>128.18</v>
      </c>
      <c r="I400" s="18"/>
      <c r="J400" s="24" t="s">
        <v>288</v>
      </c>
      <c r="K400" s="24" t="s">
        <v>288</v>
      </c>
      <c r="L400" s="56">
        <f t="shared" si="26"/>
        <v>128.18</v>
      </c>
      <c r="M400" s="8"/>
      <c r="N400" s="264"/>
    </row>
    <row r="401" spans="1:21" s="3" customFormat="1" ht="12.2" customHeight="1" thickBot="1" x14ac:dyDescent="0.2">
      <c r="A401" s="79" t="s">
        <v>510</v>
      </c>
      <c r="B401" s="2" t="s">
        <v>381</v>
      </c>
      <c r="C401" s="6">
        <v>13</v>
      </c>
      <c r="D401" s="2" t="s">
        <v>432</v>
      </c>
      <c r="E401" s="6"/>
      <c r="F401" s="18"/>
      <c r="G401" s="18">
        <v>99000</v>
      </c>
      <c r="H401" s="18">
        <v>131.31</v>
      </c>
      <c r="I401" s="18"/>
      <c r="J401" s="24" t="s">
        <v>288</v>
      </c>
      <c r="K401" s="24" t="s">
        <v>288</v>
      </c>
      <c r="L401" s="56">
        <f t="shared" si="26"/>
        <v>99131.31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878432</v>
      </c>
      <c r="H402" s="47">
        <f>SUM(H396:H401)</f>
        <v>1703.14</v>
      </c>
      <c r="I402" s="47">
        <f>SUM(I396:I401)</f>
        <v>0</v>
      </c>
      <c r="J402" s="45" t="s">
        <v>288</v>
      </c>
      <c r="K402" s="45" t="s">
        <v>288</v>
      </c>
      <c r="L402" s="47">
        <f>SUM(L396:L401)</f>
        <v>880135.14000000013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878432</v>
      </c>
      <c r="H409" s="47">
        <f>H394+H402+H408</f>
        <v>1703.14</v>
      </c>
      <c r="I409" s="47">
        <f>I394+I402+I408</f>
        <v>0</v>
      </c>
      <c r="J409" s="24" t="s">
        <v>288</v>
      </c>
      <c r="K409" s="24" t="s">
        <v>288</v>
      </c>
      <c r="L409" s="47">
        <f>L394+L402+L408</f>
        <v>880135.14000000013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9000</v>
      </c>
      <c r="L423" s="56">
        <f t="shared" si="29"/>
        <v>9000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9000</v>
      </c>
      <c r="L428" s="47">
        <f t="shared" si="30"/>
        <v>9000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9000</v>
      </c>
      <c r="L435" s="47">
        <f t="shared" si="32"/>
        <v>9000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692775.45</v>
      </c>
      <c r="G443" s="18">
        <v>651057.67000000004</v>
      </c>
      <c r="H443" s="18"/>
      <c r="I443" s="56">
        <f t="shared" si="33"/>
        <v>1343833.12</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692775.45</v>
      </c>
      <c r="G447" s="13">
        <f>SUM(G440:G446)</f>
        <v>651057.67000000004</v>
      </c>
      <c r="H447" s="13">
        <f>SUM(H440:H446)</f>
        <v>0</v>
      </c>
      <c r="I447" s="13">
        <f>SUM(I440:I446)</f>
        <v>1343833.12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692775.45</v>
      </c>
      <c r="G460" s="18">
        <v>651057.67000000004</v>
      </c>
      <c r="H460" s="18"/>
      <c r="I460" s="56">
        <f t="shared" si="34"/>
        <v>1343833.12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692775.45</v>
      </c>
      <c r="G461" s="83">
        <f>SUM(G455:G460)</f>
        <v>651057.67000000004</v>
      </c>
      <c r="H461" s="83">
        <f>SUM(H455:H460)</f>
        <v>0</v>
      </c>
      <c r="I461" s="83">
        <f>SUM(I455:I460)</f>
        <v>1343833.12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692775.45</v>
      </c>
      <c r="G462" s="42">
        <f>G453+G461</f>
        <v>651057.67000000004</v>
      </c>
      <c r="H462" s="42">
        <f>H453+H461</f>
        <v>0</v>
      </c>
      <c r="I462" s="42">
        <f>I453+I461</f>
        <v>1343833.12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1283338.69</v>
      </c>
      <c r="G466" s="18">
        <v>0</v>
      </c>
      <c r="H466" s="18">
        <v>0</v>
      </c>
      <c r="I466" s="18">
        <v>0</v>
      </c>
      <c r="J466" s="18">
        <v>472697.98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22391062.539999999</v>
      </c>
      <c r="G469" s="18">
        <f>G194</f>
        <v>508949.5</v>
      </c>
      <c r="H469" s="18">
        <f>H194</f>
        <v>766063.2</v>
      </c>
      <c r="I469" s="18">
        <f>I194</f>
        <v>910310</v>
      </c>
      <c r="J469" s="18">
        <f>1703.14+878432</f>
        <v>880135.14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22391062.539999999</v>
      </c>
      <c r="G471" s="53">
        <f>SUM(G469:G470)</f>
        <v>508949.5</v>
      </c>
      <c r="H471" s="53">
        <f>SUM(H469:H470)</f>
        <v>766063.2</v>
      </c>
      <c r="I471" s="53">
        <f>SUM(I469:I470)</f>
        <v>910310</v>
      </c>
      <c r="J471" s="53">
        <f>SUM(J469:J470)</f>
        <v>880135.14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22971684.25</v>
      </c>
      <c r="G473" s="18">
        <f>L363</f>
        <v>508949.5</v>
      </c>
      <c r="H473" s="18">
        <f>L353</f>
        <v>456363.19999999995</v>
      </c>
      <c r="I473" s="18">
        <f>L383</f>
        <v>440236.18999999994</v>
      </c>
      <c r="J473" s="18">
        <v>9000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22971684.25</v>
      </c>
      <c r="G475" s="53">
        <f>SUM(G473:G474)</f>
        <v>508949.5</v>
      </c>
      <c r="H475" s="53">
        <f>SUM(H473:H474)</f>
        <v>456363.19999999995</v>
      </c>
      <c r="I475" s="53">
        <f>SUM(I473:I474)</f>
        <v>440236.18999999994</v>
      </c>
      <c r="J475" s="53">
        <f>SUM(J473:J474)</f>
        <v>9000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702716.98000000045</v>
      </c>
      <c r="G477" s="53">
        <f>(G466+G471)- G475</f>
        <v>0</v>
      </c>
      <c r="H477" s="53">
        <f>(H466+H471)- H475</f>
        <v>309700</v>
      </c>
      <c r="I477" s="53">
        <f>(I466+I471)- I475</f>
        <v>470073.81000000006</v>
      </c>
      <c r="J477" s="53">
        <f>(J466+J471)- J475</f>
        <v>1343833.12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891604.31</v>
      </c>
      <c r="G522" s="18">
        <v>259612.79999999999</v>
      </c>
      <c r="H522" s="18">
        <v>226389.78</v>
      </c>
      <c r="I522" s="18">
        <v>10688.52</v>
      </c>
      <c r="J522" s="18">
        <v>6427.78</v>
      </c>
      <c r="K522" s="18">
        <v>4525.0600000000004</v>
      </c>
      <c r="L522" s="88">
        <f>SUM(F522:K522)</f>
        <v>1399248.2500000002</v>
      </c>
      <c r="N522" s="263"/>
    </row>
    <row r="523" spans="1:14" s="52" customFormat="1" ht="12.2" customHeight="1" x14ac:dyDescent="0.2">
      <c r="A523" s="22" t="s">
        <v>634</v>
      </c>
      <c r="B523" s="105">
        <v>21</v>
      </c>
      <c r="C523" s="115">
        <v>2</v>
      </c>
      <c r="D523" s="2" t="s">
        <v>432</v>
      </c>
      <c r="E523" s="115"/>
      <c r="F523" s="18">
        <v>721236.52</v>
      </c>
      <c r="G523" s="18">
        <v>140004.99</v>
      </c>
      <c r="H523" s="18">
        <v>170944.68</v>
      </c>
      <c r="I523" s="18">
        <v>5939.91</v>
      </c>
      <c r="J523" s="18">
        <v>4306.04</v>
      </c>
      <c r="K523" s="18">
        <v>3207.5</v>
      </c>
      <c r="L523" s="88">
        <f>SUM(F523:K523)</f>
        <v>1045639.64</v>
      </c>
      <c r="N523" s="263"/>
    </row>
    <row r="524" spans="1:14" s="52" customFormat="1" ht="12.2" customHeight="1" thickBot="1" x14ac:dyDescent="0.25">
      <c r="A524" s="22" t="s">
        <v>635</v>
      </c>
      <c r="B524" s="105">
        <v>21</v>
      </c>
      <c r="C524" s="115">
        <v>3</v>
      </c>
      <c r="D524" s="2" t="s">
        <v>432</v>
      </c>
      <c r="E524" s="115"/>
      <c r="F524" s="18">
        <v>490436.83</v>
      </c>
      <c r="G524" s="18">
        <v>204547.49</v>
      </c>
      <c r="H524" s="18">
        <v>152137.97</v>
      </c>
      <c r="I524" s="18">
        <v>5472.36</v>
      </c>
      <c r="J524" s="18">
        <v>7749.11</v>
      </c>
      <c r="K524" s="18">
        <v>2823.23</v>
      </c>
      <c r="L524" s="88">
        <f>SUM(F524:K524)</f>
        <v>863166.99</v>
      </c>
      <c r="N524" s="263"/>
    </row>
    <row r="525" spans="1:14" s="52" customFormat="1" ht="12.2" customHeight="1" thickTop="1" x14ac:dyDescent="0.2">
      <c r="A525" s="139" t="s">
        <v>63</v>
      </c>
      <c r="B525" s="107">
        <v>21</v>
      </c>
      <c r="C525" s="195">
        <v>4</v>
      </c>
      <c r="D525" s="196" t="s">
        <v>432</v>
      </c>
      <c r="E525" s="195"/>
      <c r="F525" s="108">
        <f>SUM(F522:F524)</f>
        <v>2103277.66</v>
      </c>
      <c r="G525" s="108">
        <f t="shared" ref="G525:L525" si="36">SUM(G522:G524)</f>
        <v>604165.28</v>
      </c>
      <c r="H525" s="108">
        <f t="shared" si="36"/>
        <v>549472.42999999993</v>
      </c>
      <c r="I525" s="108">
        <f t="shared" si="36"/>
        <v>22100.79</v>
      </c>
      <c r="J525" s="108">
        <f t="shared" si="36"/>
        <v>18482.93</v>
      </c>
      <c r="K525" s="108">
        <f t="shared" si="36"/>
        <v>10555.79</v>
      </c>
      <c r="L525" s="89">
        <f t="shared" si="36"/>
        <v>3308054.88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206802.57</v>
      </c>
      <c r="G527" s="18">
        <v>82173.13</v>
      </c>
      <c r="H527" s="18">
        <v>73367.13</v>
      </c>
      <c r="I527" s="18">
        <v>1906.24</v>
      </c>
      <c r="J527" s="18">
        <v>140.69999999999999</v>
      </c>
      <c r="K527" s="18">
        <v>0</v>
      </c>
      <c r="L527" s="88">
        <f>SUM(F527:K527)</f>
        <v>364389.77</v>
      </c>
      <c r="M527" s="8"/>
      <c r="N527" s="264"/>
    </row>
    <row r="528" spans="1:14" s="3" customFormat="1" ht="12.2" customHeight="1" x14ac:dyDescent="0.15">
      <c r="A528" s="22" t="s">
        <v>634</v>
      </c>
      <c r="B528" s="105">
        <v>21</v>
      </c>
      <c r="C528" s="115">
        <v>6</v>
      </c>
      <c r="D528" s="2" t="s">
        <v>432</v>
      </c>
      <c r="E528" s="115"/>
      <c r="F528" s="18">
        <v>155422.79</v>
      </c>
      <c r="G528" s="18">
        <v>61757.34</v>
      </c>
      <c r="H528" s="18">
        <v>55139.18</v>
      </c>
      <c r="I528" s="18">
        <v>1432.64</v>
      </c>
      <c r="J528" s="18">
        <v>105.74</v>
      </c>
      <c r="K528" s="18">
        <v>0</v>
      </c>
      <c r="L528" s="88">
        <f>SUM(F528:K528)</f>
        <v>273857.69</v>
      </c>
      <c r="M528" s="8"/>
      <c r="N528" s="264"/>
    </row>
    <row r="529" spans="1:14" s="3" customFormat="1" ht="12.2" customHeight="1" thickBot="1" x14ac:dyDescent="0.2">
      <c r="A529" s="22" t="s">
        <v>635</v>
      </c>
      <c r="B529" s="118">
        <v>21</v>
      </c>
      <c r="C529" s="118">
        <v>7</v>
      </c>
      <c r="D529" s="2" t="s">
        <v>432</v>
      </c>
      <c r="E529" s="118"/>
      <c r="F529" s="18">
        <v>138968.63</v>
      </c>
      <c r="G529" s="18">
        <v>55219.27</v>
      </c>
      <c r="H529" s="18">
        <v>49301.75</v>
      </c>
      <c r="I529" s="18">
        <v>1280.97</v>
      </c>
      <c r="J529" s="18">
        <v>94.55</v>
      </c>
      <c r="K529" s="18"/>
      <c r="L529" s="88">
        <f>SUM(F529:K529)</f>
        <v>244865.16999999998</v>
      </c>
      <c r="M529" s="8"/>
      <c r="N529" s="264"/>
    </row>
    <row r="530" spans="1:14" s="3" customFormat="1" ht="12.2" customHeight="1" thickTop="1" x14ac:dyDescent="0.15">
      <c r="A530" s="139" t="s">
        <v>65</v>
      </c>
      <c r="B530" s="107">
        <v>21</v>
      </c>
      <c r="C530" s="107">
        <v>8</v>
      </c>
      <c r="D530" s="158" t="s">
        <v>432</v>
      </c>
      <c r="E530" s="107"/>
      <c r="F530" s="89">
        <f>SUM(F527:F529)</f>
        <v>501193.99</v>
      </c>
      <c r="G530" s="89">
        <f t="shared" ref="G530:L530" si="37">SUM(G527:G529)</f>
        <v>199149.74</v>
      </c>
      <c r="H530" s="89">
        <f t="shared" si="37"/>
        <v>177808.06</v>
      </c>
      <c r="I530" s="89">
        <f t="shared" si="37"/>
        <v>4619.8500000000004</v>
      </c>
      <c r="J530" s="89">
        <f t="shared" si="37"/>
        <v>340.99</v>
      </c>
      <c r="K530" s="89">
        <f t="shared" si="37"/>
        <v>0</v>
      </c>
      <c r="L530" s="89">
        <f t="shared" si="37"/>
        <v>883112.62999999989</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65507.360000000001</v>
      </c>
      <c r="G532" s="18">
        <v>27536.11</v>
      </c>
      <c r="H532" s="18">
        <v>576.67999999999995</v>
      </c>
      <c r="I532" s="18">
        <v>72.03</v>
      </c>
      <c r="J532" s="18">
        <v>1396.42</v>
      </c>
      <c r="K532" s="18">
        <v>812.65</v>
      </c>
      <c r="L532" s="88">
        <f>SUM(F532:K532)</f>
        <v>95901.249999999985</v>
      </c>
      <c r="M532" s="8"/>
      <c r="N532" s="264"/>
    </row>
    <row r="533" spans="1:14" s="3" customFormat="1" ht="12.2" customHeight="1" x14ac:dyDescent="0.15">
      <c r="A533" s="22" t="s">
        <v>634</v>
      </c>
      <c r="B533" s="105">
        <v>21</v>
      </c>
      <c r="C533" s="105">
        <v>10</v>
      </c>
      <c r="D533" s="2" t="s">
        <v>432</v>
      </c>
      <c r="E533" s="105"/>
      <c r="F533" s="18">
        <v>49232.15</v>
      </c>
      <c r="G533" s="18">
        <v>20694.810000000001</v>
      </c>
      <c r="H533" s="18">
        <v>433.4</v>
      </c>
      <c r="I533" s="18">
        <v>54.14</v>
      </c>
      <c r="J533" s="18">
        <v>1049.48</v>
      </c>
      <c r="K533" s="18">
        <v>610.70000000000005</v>
      </c>
      <c r="L533" s="88">
        <f>SUM(F533:K533)</f>
        <v>72074.679999999993</v>
      </c>
      <c r="M533" s="8"/>
      <c r="N533" s="264"/>
    </row>
    <row r="534" spans="1:14" s="3" customFormat="1" ht="12.2" customHeight="1" thickBot="1" x14ac:dyDescent="0.2">
      <c r="A534" s="22" t="s">
        <v>635</v>
      </c>
      <c r="B534" s="105">
        <v>21</v>
      </c>
      <c r="C534" s="105">
        <v>11</v>
      </c>
      <c r="D534" s="2" t="s">
        <v>432</v>
      </c>
      <c r="E534" s="105"/>
      <c r="F534" s="18">
        <v>44020.09</v>
      </c>
      <c r="G534" s="18">
        <v>18503.91</v>
      </c>
      <c r="H534" s="18">
        <v>387.52</v>
      </c>
      <c r="I534" s="18">
        <v>48.4</v>
      </c>
      <c r="J534" s="18">
        <v>938.37</v>
      </c>
      <c r="K534" s="18">
        <v>546.09</v>
      </c>
      <c r="L534" s="88">
        <f>SUM(F534:K534)</f>
        <v>64444.38</v>
      </c>
      <c r="M534" s="8"/>
      <c r="N534" s="264"/>
    </row>
    <row r="535" spans="1:14" s="3" customFormat="1" ht="12.2" customHeight="1" thickTop="1" x14ac:dyDescent="0.15">
      <c r="A535" s="139" t="s">
        <v>67</v>
      </c>
      <c r="B535" s="107">
        <v>21</v>
      </c>
      <c r="C535" s="107">
        <v>12</v>
      </c>
      <c r="D535" s="158" t="s">
        <v>432</v>
      </c>
      <c r="E535" s="107"/>
      <c r="F535" s="89">
        <f>SUM(F532:F534)</f>
        <v>158759.6</v>
      </c>
      <c r="G535" s="89">
        <f t="shared" ref="G535:L535" si="38">SUM(G532:G534)</f>
        <v>66734.83</v>
      </c>
      <c r="H535" s="89">
        <f t="shared" si="38"/>
        <v>1397.6</v>
      </c>
      <c r="I535" s="89">
        <f t="shared" si="38"/>
        <v>174.57</v>
      </c>
      <c r="J535" s="89">
        <f t="shared" si="38"/>
        <v>3384.27</v>
      </c>
      <c r="K535" s="89">
        <f t="shared" si="38"/>
        <v>1969.44</v>
      </c>
      <c r="L535" s="89">
        <f t="shared" si="38"/>
        <v>232420.31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1093.24</v>
      </c>
      <c r="I537" s="18"/>
      <c r="J537" s="18"/>
      <c r="K537" s="18"/>
      <c r="L537" s="88">
        <f>SUM(F537:K537)</f>
        <v>1093.24</v>
      </c>
      <c r="M537" s="8"/>
      <c r="N537" s="264"/>
    </row>
    <row r="538" spans="1:14" s="3" customFormat="1" ht="12.2" customHeight="1" x14ac:dyDescent="0.15">
      <c r="A538" s="22" t="s">
        <v>634</v>
      </c>
      <c r="B538" s="105">
        <v>21</v>
      </c>
      <c r="C538" s="105">
        <v>14</v>
      </c>
      <c r="D538" s="2" t="s">
        <v>432</v>
      </c>
      <c r="E538" s="105"/>
      <c r="F538" s="18"/>
      <c r="G538" s="18"/>
      <c r="H538" s="18">
        <v>821.62</v>
      </c>
      <c r="I538" s="18"/>
      <c r="J538" s="18"/>
      <c r="K538" s="18"/>
      <c r="L538" s="88">
        <f>SUM(F538:K538)</f>
        <v>821.62</v>
      </c>
      <c r="M538" s="8"/>
      <c r="N538" s="264"/>
    </row>
    <row r="539" spans="1:14" s="3" customFormat="1" ht="12.2" customHeight="1" thickBot="1" x14ac:dyDescent="0.2">
      <c r="A539" s="22" t="s">
        <v>635</v>
      </c>
      <c r="B539" s="105">
        <v>21</v>
      </c>
      <c r="C539" s="105">
        <v>15</v>
      </c>
      <c r="D539" s="2" t="s">
        <v>432</v>
      </c>
      <c r="E539" s="105"/>
      <c r="F539" s="18"/>
      <c r="G539" s="18"/>
      <c r="H539" s="18">
        <v>734.64</v>
      </c>
      <c r="I539" s="18"/>
      <c r="J539" s="18"/>
      <c r="K539" s="18"/>
      <c r="L539" s="88">
        <f>SUM(F539:K539)</f>
        <v>734.64</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2649.5</v>
      </c>
      <c r="I540" s="89">
        <f t="shared" si="39"/>
        <v>0</v>
      </c>
      <c r="J540" s="89">
        <f t="shared" si="39"/>
        <v>0</v>
      </c>
      <c r="K540" s="89">
        <f t="shared" si="39"/>
        <v>0</v>
      </c>
      <c r="L540" s="89">
        <f t="shared" si="39"/>
        <v>2649.5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107444.44</v>
      </c>
      <c r="I542" s="18"/>
      <c r="J542" s="18"/>
      <c r="K542" s="18"/>
      <c r="L542" s="88">
        <f>SUM(F542:K542)</f>
        <v>107444.44</v>
      </c>
      <c r="M542" s="8"/>
      <c r="N542" s="264"/>
    </row>
    <row r="543" spans="1:14" s="3" customFormat="1" ht="12.2" customHeight="1" x14ac:dyDescent="0.15">
      <c r="A543" s="22" t="s">
        <v>634</v>
      </c>
      <c r="B543" s="105">
        <v>21</v>
      </c>
      <c r="C543" s="105">
        <v>18</v>
      </c>
      <c r="D543" s="2" t="s">
        <v>432</v>
      </c>
      <c r="E543" s="105"/>
      <c r="F543" s="18"/>
      <c r="G543" s="18"/>
      <c r="H543" s="18">
        <v>80750.039999999994</v>
      </c>
      <c r="I543" s="18"/>
      <c r="J543" s="18"/>
      <c r="K543" s="18"/>
      <c r="L543" s="88">
        <f>SUM(F543:K543)</f>
        <v>80750.039999999994</v>
      </c>
      <c r="M543" s="8"/>
      <c r="N543" s="264"/>
    </row>
    <row r="544" spans="1:14" s="3" customFormat="1" ht="12.2" customHeight="1" thickBot="1" x14ac:dyDescent="0.2">
      <c r="A544" s="22" t="s">
        <v>635</v>
      </c>
      <c r="B544" s="105">
        <v>21</v>
      </c>
      <c r="C544" s="105">
        <v>19</v>
      </c>
      <c r="D544" s="2" t="s">
        <v>432</v>
      </c>
      <c r="E544" s="105"/>
      <c r="F544" s="18"/>
      <c r="G544" s="18"/>
      <c r="H544" s="18">
        <v>72201.259999999995</v>
      </c>
      <c r="I544" s="18"/>
      <c r="J544" s="18"/>
      <c r="K544" s="18"/>
      <c r="L544" s="88">
        <f>SUM(F544:K544)</f>
        <v>72201.259999999995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260395.74</v>
      </c>
      <c r="I545" s="193">
        <f t="shared" si="40"/>
        <v>0</v>
      </c>
      <c r="J545" s="193">
        <f t="shared" si="40"/>
        <v>0</v>
      </c>
      <c r="K545" s="193">
        <f t="shared" si="40"/>
        <v>0</v>
      </c>
      <c r="L545" s="193">
        <f t="shared" si="40"/>
        <v>260395.74</v>
      </c>
      <c r="M545" s="8"/>
      <c r="N545" s="264"/>
    </row>
    <row r="546" spans="1:14" s="3" customFormat="1" ht="12.2" customHeight="1" thickTop="1" x14ac:dyDescent="0.15">
      <c r="A546" s="98" t="s">
        <v>72</v>
      </c>
      <c r="B546" s="107">
        <v>21</v>
      </c>
      <c r="C546" s="107">
        <v>21</v>
      </c>
      <c r="D546" s="158" t="s">
        <v>432</v>
      </c>
      <c r="E546" s="107"/>
      <c r="F546" s="89">
        <f>F525+F530+F535+F540+F545</f>
        <v>2763231.2500000005</v>
      </c>
      <c r="G546" s="89">
        <f t="shared" ref="G546:L546" si="41">G525+G530+G535+G540+G545</f>
        <v>870049.85</v>
      </c>
      <c r="H546" s="89">
        <f t="shared" si="41"/>
        <v>991723.33</v>
      </c>
      <c r="I546" s="89">
        <f t="shared" si="41"/>
        <v>26895.21</v>
      </c>
      <c r="J546" s="89">
        <f t="shared" si="41"/>
        <v>22208.190000000002</v>
      </c>
      <c r="K546" s="89">
        <f t="shared" si="41"/>
        <v>12525.230000000001</v>
      </c>
      <c r="L546" s="89">
        <f t="shared" si="41"/>
        <v>4686633.0599999996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1399248.2500000002</v>
      </c>
      <c r="G550" s="87">
        <f>L527</f>
        <v>364389.77</v>
      </c>
      <c r="H550" s="87">
        <f>L532</f>
        <v>95901.249999999985</v>
      </c>
      <c r="I550" s="87">
        <f>L537</f>
        <v>1093.24</v>
      </c>
      <c r="J550" s="87">
        <f>L542</f>
        <v>107444.44</v>
      </c>
      <c r="K550" s="87">
        <f>SUM(F550:J550)</f>
        <v>1968076.9500000002</v>
      </c>
      <c r="L550" s="24" t="s">
        <v>288</v>
      </c>
      <c r="M550" s="8"/>
      <c r="N550" s="264"/>
    </row>
    <row r="551" spans="1:14" s="3" customFormat="1" ht="12.2" customHeight="1" x14ac:dyDescent="0.15">
      <c r="A551" s="22" t="s">
        <v>634</v>
      </c>
      <c r="B551" s="75">
        <v>21</v>
      </c>
      <c r="C551" s="75">
        <v>23</v>
      </c>
      <c r="D551" s="2" t="s">
        <v>432</v>
      </c>
      <c r="E551" s="75"/>
      <c r="F551" s="87">
        <f>L523</f>
        <v>1045639.64</v>
      </c>
      <c r="G551" s="87">
        <f>L528</f>
        <v>273857.69</v>
      </c>
      <c r="H551" s="87">
        <f>L533</f>
        <v>72074.679999999993</v>
      </c>
      <c r="I551" s="87">
        <f>L538</f>
        <v>821.62</v>
      </c>
      <c r="J551" s="87">
        <f>L543</f>
        <v>80750.039999999994</v>
      </c>
      <c r="K551" s="87">
        <f>SUM(F551:J551)</f>
        <v>1473143.6700000002</v>
      </c>
      <c r="L551" s="24" t="s">
        <v>288</v>
      </c>
      <c r="M551" s="8"/>
      <c r="N551" s="264"/>
    </row>
    <row r="552" spans="1:14" s="3" customFormat="1" ht="12.2" customHeight="1" thickBot="1" x14ac:dyDescent="0.2">
      <c r="A552" s="22" t="s">
        <v>635</v>
      </c>
      <c r="B552" s="75">
        <v>21</v>
      </c>
      <c r="C552" s="75">
        <v>24</v>
      </c>
      <c r="D552" s="2" t="s">
        <v>432</v>
      </c>
      <c r="E552" s="75"/>
      <c r="F552" s="87">
        <f>L524</f>
        <v>863166.99</v>
      </c>
      <c r="G552" s="87">
        <f>L529</f>
        <v>244865.16999999998</v>
      </c>
      <c r="H552" s="87">
        <f>L534</f>
        <v>64444.38</v>
      </c>
      <c r="I552" s="87">
        <f>L539</f>
        <v>734.64</v>
      </c>
      <c r="J552" s="87">
        <f>L544</f>
        <v>72201.259999999995</v>
      </c>
      <c r="K552" s="87">
        <f>SUM(F552:J552)</f>
        <v>1245412.4399999997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3308054.88</v>
      </c>
      <c r="G553" s="89">
        <f t="shared" si="42"/>
        <v>883112.62999999989</v>
      </c>
      <c r="H553" s="89">
        <f t="shared" si="42"/>
        <v>232420.31</v>
      </c>
      <c r="I553" s="89">
        <f t="shared" si="42"/>
        <v>2649.5</v>
      </c>
      <c r="J553" s="89">
        <f t="shared" si="42"/>
        <v>260395.74</v>
      </c>
      <c r="K553" s="89">
        <f t="shared" si="42"/>
        <v>4686633.0599999996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22189.11</v>
      </c>
      <c r="G563" s="18">
        <v>6221.73</v>
      </c>
      <c r="H563" s="18">
        <v>379.61</v>
      </c>
      <c r="I563" s="18">
        <v>135.03</v>
      </c>
      <c r="J563" s="18"/>
      <c r="K563" s="18"/>
      <c r="L563" s="88">
        <f>SUM(F563:K563)</f>
        <v>28925.48</v>
      </c>
      <c r="M563" s="8"/>
      <c r="N563" s="264"/>
    </row>
    <row r="564" spans="1:14" s="3" customFormat="1" ht="12.2" customHeight="1" x14ac:dyDescent="0.15">
      <c r="A564" s="22" t="s">
        <v>634</v>
      </c>
      <c r="B564" s="105">
        <v>22</v>
      </c>
      <c r="C564" s="115">
        <v>6</v>
      </c>
      <c r="D564" s="2" t="s">
        <v>432</v>
      </c>
      <c r="E564" s="115"/>
      <c r="F564" s="18">
        <v>16676.259999999998</v>
      </c>
      <c r="G564" s="18">
        <v>4675.95</v>
      </c>
      <c r="H564" s="18">
        <v>285.3</v>
      </c>
      <c r="I564" s="18">
        <v>101.48</v>
      </c>
      <c r="J564" s="18"/>
      <c r="K564" s="18"/>
      <c r="L564" s="88">
        <f>SUM(F564:K564)</f>
        <v>21738.989999999998</v>
      </c>
      <c r="M564" s="8"/>
      <c r="N564" s="264"/>
    </row>
    <row r="565" spans="1:14" s="3" customFormat="1" ht="12.2" customHeight="1" thickBot="1" x14ac:dyDescent="0.2">
      <c r="A565" s="22" t="s">
        <v>635</v>
      </c>
      <c r="B565" s="105">
        <v>22</v>
      </c>
      <c r="C565" s="118">
        <v>7</v>
      </c>
      <c r="D565" s="2" t="s">
        <v>432</v>
      </c>
      <c r="E565" s="118"/>
      <c r="F565" s="18">
        <v>14910.79</v>
      </c>
      <c r="G565" s="18">
        <v>4180.92</v>
      </c>
      <c r="H565" s="18">
        <v>255.09</v>
      </c>
      <c r="I565" s="18">
        <v>90.74</v>
      </c>
      <c r="J565" s="18"/>
      <c r="K565" s="18"/>
      <c r="L565" s="88">
        <f>SUM(F565:K565)</f>
        <v>19437.54</v>
      </c>
      <c r="M565" s="8"/>
      <c r="N565" s="264"/>
    </row>
    <row r="566" spans="1:14" s="3" customFormat="1" ht="12.2" customHeight="1" thickTop="1" x14ac:dyDescent="0.15">
      <c r="A566" s="139" t="s">
        <v>65</v>
      </c>
      <c r="B566" s="107">
        <v>22</v>
      </c>
      <c r="C566" s="107">
        <v>8</v>
      </c>
      <c r="D566" s="196" t="s">
        <v>432</v>
      </c>
      <c r="E566" s="107"/>
      <c r="F566" s="89">
        <f t="shared" ref="F566:L566" si="44">SUM(F563:F565)</f>
        <v>53776.159999999996</v>
      </c>
      <c r="G566" s="89">
        <f t="shared" si="44"/>
        <v>15078.6</v>
      </c>
      <c r="H566" s="89">
        <f t="shared" si="44"/>
        <v>920.00000000000011</v>
      </c>
      <c r="I566" s="89">
        <f t="shared" si="44"/>
        <v>327.25</v>
      </c>
      <c r="J566" s="89">
        <f t="shared" si="44"/>
        <v>0</v>
      </c>
      <c r="K566" s="89">
        <f t="shared" si="44"/>
        <v>0</v>
      </c>
      <c r="L566" s="89">
        <f t="shared" si="44"/>
        <v>70102.010000000009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53776.159999999996</v>
      </c>
      <c r="G572" s="89">
        <f t="shared" ref="G572:L572" si="46">G561+G566+G571</f>
        <v>15078.6</v>
      </c>
      <c r="H572" s="89">
        <f t="shared" si="46"/>
        <v>920.00000000000011</v>
      </c>
      <c r="I572" s="89">
        <f t="shared" si="46"/>
        <v>327.25</v>
      </c>
      <c r="J572" s="89">
        <f t="shared" si="46"/>
        <v>0</v>
      </c>
      <c r="K572" s="89">
        <f t="shared" si="46"/>
        <v>0</v>
      </c>
      <c r="L572" s="89">
        <f t="shared" si="46"/>
        <v>70102.010000000009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4410+12665</f>
        <v>17075</v>
      </c>
      <c r="I576" s="87">
        <f>SUM(F576:H576)</f>
        <v>17075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95193</v>
      </c>
      <c r="H583" s="18">
        <f>290454+26181</f>
        <v>316635</v>
      </c>
      <c r="I583" s="87">
        <f t="shared" si="47"/>
        <v>411828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29806.63</v>
      </c>
      <c r="I585" s="87">
        <f t="shared" si="47"/>
        <v>29806.63</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194545.28</v>
      </c>
      <c r="I592" s="18">
        <v>165706.79999999999</v>
      </c>
      <c r="J592" s="18">
        <v>201411.57</v>
      </c>
      <c r="K592" s="104">
        <f t="shared" ref="K592:K598" si="48">SUM(H592:J592)</f>
        <v>561663.64999999991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90194.12</v>
      </c>
      <c r="I593" s="18">
        <v>76824.17</v>
      </c>
      <c r="J593" s="18">
        <v>93377.45</v>
      </c>
      <c r="K593" s="104">
        <f t="shared" si="48"/>
        <v>260395.74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19544.82</v>
      </c>
      <c r="K594" s="104">
        <f t="shared" si="48"/>
        <v>19544.82</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7698.4</v>
      </c>
      <c r="J595" s="18">
        <v>34108.400000000001</v>
      </c>
      <c r="K595" s="104">
        <f t="shared" si="48"/>
        <v>41806.800000000003</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298.24</v>
      </c>
      <c r="I596" s="18">
        <v>1923.71</v>
      </c>
      <c r="J596" s="18"/>
      <c r="K596" s="104">
        <f t="shared" si="48"/>
        <v>2221.9499999999998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285037.64</v>
      </c>
      <c r="I599" s="108">
        <f>SUM(I592:I598)</f>
        <v>252153.07999999996</v>
      </c>
      <c r="J599" s="108">
        <f>SUM(J592:J598)</f>
        <v>348442.24000000005</v>
      </c>
      <c r="K599" s="108">
        <f>SUM(K592:K598)</f>
        <v>885632.95999999985</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55565.64+120816.82</f>
        <v>176382.46000000002</v>
      </c>
      <c r="I605" s="18">
        <f>47328.85+69509.83</f>
        <v>116838.68</v>
      </c>
      <c r="J605" s="18">
        <f>57526.78+109120.07</f>
        <v>166646.85</v>
      </c>
      <c r="K605" s="104">
        <f>SUM(H605:J605)</f>
        <v>459867.99</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176382.46000000002</v>
      </c>
      <c r="I606" s="108">
        <f>SUM(I603:I605)</f>
        <v>116838.68</v>
      </c>
      <c r="J606" s="108">
        <f>SUM(J603:J605)</f>
        <v>166646.85</v>
      </c>
      <c r="K606" s="108">
        <f>SUM(K603:K605)</f>
        <v>459867.99</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2301618.2799999998</v>
      </c>
      <c r="H618" s="109">
        <f>SUM(F52)</f>
        <v>2301618.2800000003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20820.459999999992</v>
      </c>
      <c r="H619" s="109">
        <f>SUM(G52)</f>
        <v>20820.46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460683.13</v>
      </c>
      <c r="H620" s="109">
        <f>SUM(H52)</f>
        <v>460683.13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480177.81</v>
      </c>
      <c r="H621" s="109">
        <f>SUM(I52)</f>
        <v>480177.81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1343833.12</v>
      </c>
      <c r="H622" s="109">
        <f>SUM(J52)</f>
        <v>1343833.12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702716.98</v>
      </c>
      <c r="H623" s="109">
        <f>F477</f>
        <v>702716.98000000045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309700</v>
      </c>
      <c r="H625" s="109">
        <f>H477</f>
        <v>309700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470073.81</v>
      </c>
      <c r="H626" s="109">
        <f>I477</f>
        <v>470073.81000000006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1343833.12</v>
      </c>
      <c r="H627" s="109">
        <f>J477</f>
        <v>1343833.12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22391062.539999999</v>
      </c>
      <c r="H628" s="104">
        <f>SUM(F469)</f>
        <v>22391062.539999999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508949.5</v>
      </c>
      <c r="H629" s="104">
        <f>SUM(G469)</f>
        <v>508949.5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766063.2</v>
      </c>
      <c r="H630" s="104">
        <f>SUM(H469)</f>
        <v>766063.2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910310</v>
      </c>
      <c r="H631" s="104">
        <f>SUM(I469)</f>
        <v>910310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880135.14</v>
      </c>
      <c r="H632" s="104">
        <f>SUM(J469)</f>
        <v>880135.14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22971684.25</v>
      </c>
      <c r="H633" s="104">
        <f>SUM(F473)</f>
        <v>22971684.25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456363.19999999995</v>
      </c>
      <c r="H634" s="104">
        <f>SUM(H473)</f>
        <v>456363.19999999995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187084.48</v>
      </c>
      <c r="H635" s="104">
        <f>I370</f>
        <v>187084.48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508949.5</v>
      </c>
      <c r="H636" s="104">
        <f>SUM(G473)</f>
        <v>508949.5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440236.18999999994</v>
      </c>
      <c r="H637" s="104">
        <f>SUM(I473)</f>
        <v>440236.18999999994</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880135.14000000013</v>
      </c>
      <c r="H638" s="164">
        <f>SUM(J469)</f>
        <v>880135.14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9000</v>
      </c>
      <c r="H639" s="164">
        <f>SUM(J473)</f>
        <v>9000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692775.45</v>
      </c>
      <c r="H640" s="104">
        <f>SUM(F462)</f>
        <v>692775.45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651057.67000000004</v>
      </c>
      <c r="H641" s="104">
        <f>SUM(G462)</f>
        <v>651057.67000000004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1343833.12</v>
      </c>
      <c r="H643" s="104">
        <f>SUM(I462)</f>
        <v>1343833.12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1703.14</v>
      </c>
      <c r="H645" s="104">
        <f>H409</f>
        <v>1703.14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878432</v>
      </c>
      <c r="H646" s="104">
        <f>G409</f>
        <v>878432</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880135.14</v>
      </c>
      <c r="H647" s="104">
        <f>L409</f>
        <v>880135.14000000013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885632.95999999985</v>
      </c>
      <c r="H648" s="104">
        <f>L209+L227+L245</f>
        <v>885632.96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459867.99</v>
      </c>
      <c r="H649" s="104">
        <f>(J258+J339)-(J256+J337)</f>
        <v>459867.99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285037.64</v>
      </c>
      <c r="H650" s="104">
        <f>H599</f>
        <v>285037.64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252153.08</v>
      </c>
      <c r="H651" s="104">
        <f>I599</f>
        <v>252153.07999999996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348442.24</v>
      </c>
      <c r="H652" s="104">
        <f>J599</f>
        <v>348442.24000000005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145839.9</v>
      </c>
      <c r="H653" s="104">
        <f>K264+K346</f>
        <v>145839.9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810310</v>
      </c>
      <c r="H655" s="104">
        <f>K266+K347</f>
        <v>810310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878432</v>
      </c>
      <c r="H656" s="104">
        <f>K267+K348</f>
        <v>878432</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7629916.4344417294</v>
      </c>
      <c r="G661" s="19">
        <f>(L230+L310+L360)</f>
        <v>7078359.525077424</v>
      </c>
      <c r="H661" s="19">
        <f>(L248+L329+L361)</f>
        <v>7394139.0904808482</v>
      </c>
      <c r="I661" s="19">
        <f>SUM(F661:H661)</f>
        <v>22102415.050000001</v>
      </c>
      <c r="J661" s="13"/>
      <c r="K661" s="13"/>
      <c r="L661" s="13"/>
      <c r="M661" s="9"/>
    </row>
    <row r="662" spans="1:13" s="3" customFormat="1" ht="12.2" customHeight="1" x14ac:dyDescent="0.2">
      <c r="A662" s="1" t="s">
        <v>127</v>
      </c>
      <c r="F662" s="19">
        <f>(L359/IF(SUM(L359:L361)=0,1,SUM(L359:L361))*(SUM(G97:G110)))</f>
        <v>9479.3049149929502</v>
      </c>
      <c r="G662" s="19">
        <f>(L360/IF(SUM(L359:L361)=0,1,SUM(L359:L361))*(SUM(G97:G110)))</f>
        <v>10610.420669203242</v>
      </c>
      <c r="H662" s="19">
        <f>(L361/IF(SUM(L359:L361)=0,1,SUM(L359:L361))*(SUM(G97:G110)))</f>
        <v>10616.344415803807</v>
      </c>
      <c r="I662" s="19">
        <f>SUM(F662:H662)</f>
        <v>30706.07</v>
      </c>
      <c r="J662"/>
      <c r="K662" s="13"/>
      <c r="L662" s="13"/>
      <c r="M662" s="8"/>
    </row>
    <row r="663" spans="1:13" s="3" customFormat="1" ht="12.2" customHeight="1" x14ac:dyDescent="0.2">
      <c r="A663" s="1" t="s">
        <v>128</v>
      </c>
      <c r="F663" s="19">
        <f>(L209+L288)-(J209+J288)</f>
        <v>285037.64</v>
      </c>
      <c r="G663" s="19">
        <f>(L227+L307)-(J227+J307)</f>
        <v>252153.08</v>
      </c>
      <c r="H663" s="19">
        <f>(L245+L326)-(J245+J326)</f>
        <v>348442.24</v>
      </c>
      <c r="I663" s="19">
        <f>SUM(F663:H663)</f>
        <v>885632.96</v>
      </c>
      <c r="J663"/>
      <c r="K663" s="13"/>
      <c r="L663" s="13"/>
      <c r="M663" s="9"/>
    </row>
    <row r="664" spans="1:13" s="3" customFormat="1" ht="12.2" customHeight="1" x14ac:dyDescent="0.15">
      <c r="A664" s="198" t="s">
        <v>129</v>
      </c>
      <c r="B664" s="169"/>
      <c r="C664" s="169"/>
      <c r="D664" s="169"/>
      <c r="E664" s="169"/>
      <c r="F664" s="199">
        <f>SUM(F576:F588)+SUM(H603:H605)+SUM(L612)</f>
        <v>176382.46000000002</v>
      </c>
      <c r="G664" s="199">
        <f>SUM(G576:G588)+SUM(I603:I605)+L613</f>
        <v>212031.68</v>
      </c>
      <c r="H664" s="199">
        <f>SUM(H576:H588)+SUM(J603:J605)+L614</f>
        <v>530163.48</v>
      </c>
      <c r="I664" s="19">
        <f>SUM(F664:H664)</f>
        <v>918577.62</v>
      </c>
      <c r="J664" s="13"/>
      <c r="K664" s="13"/>
      <c r="L664" s="13"/>
      <c r="M664" s="9"/>
    </row>
    <row r="665" spans="1:13" s="3" customFormat="1" ht="12.2" customHeight="1" x14ac:dyDescent="0.15">
      <c r="A665" s="1" t="s">
        <v>130</v>
      </c>
      <c r="F665" s="19">
        <f>F661-SUM(F662:F664)</f>
        <v>7159017.0295267366</v>
      </c>
      <c r="G665" s="19">
        <f>G661-SUM(G662:G664)</f>
        <v>6603564.3444082206</v>
      </c>
      <c r="H665" s="19">
        <f>H661-SUM(H662:H664)</f>
        <v>6504917.0260650441</v>
      </c>
      <c r="I665" s="19">
        <f>I661-SUM(I662:I664)</f>
        <v>20267498.400000002</v>
      </c>
      <c r="J665" s="13"/>
      <c r="K665" s="13"/>
      <c r="L665" s="13"/>
      <c r="M665" s="8"/>
    </row>
    <row r="666" spans="1:13" s="3" customFormat="1" ht="12.2" customHeight="1" x14ac:dyDescent="0.25">
      <c r="A666" s="1" t="s">
        <v>131</v>
      </c>
      <c r="F666" s="359">
        <v>402.39</v>
      </c>
      <c r="G666" s="359">
        <v>360.05</v>
      </c>
      <c r="H666" s="359">
        <v>428.6</v>
      </c>
      <c r="I666" s="19">
        <f>SUM(F666:H666)</f>
        <v>1191.04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17791.240000000002</v>
      </c>
      <c r="G668" s="19">
        <f>ROUND(G665/G666,2)</f>
        <v>18340.689999999999</v>
      </c>
      <c r="H668" s="19">
        <f>ROUND(H665/H666,2)</f>
        <v>15177.13</v>
      </c>
      <c r="I668" s="19">
        <f>ROUND(I665/I666,2)</f>
        <v>17016.64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-13.05</v>
      </c>
      <c r="I671" s="19">
        <f>SUM(F671:H671)</f>
        <v>-13.05</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17791.240000000002</v>
      </c>
      <c r="G673" s="19">
        <f>ROUND((G665+G670)/(G666+G671),2)</f>
        <v>18340.689999999999</v>
      </c>
      <c r="H673" s="19">
        <f>ROUND((H665+H670)/(H666+H671),2)</f>
        <v>15653.75</v>
      </c>
      <c r="I673" s="19">
        <f>ROUND((I665+I670)/(I666+I671),2)</f>
        <v>17205.150000000001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9" sqref="E29"/>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60599.95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253200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c r="F22" s="346"/>
    </row>
    <row r="23" spans="2:8" x14ac:dyDescent="0.25">
      <c r="B23" s="346"/>
      <c r="C23" s="346"/>
      <c r="D23" s="346"/>
      <c r="E23" s="346"/>
      <c r="F23" s="346"/>
    </row>
    <row r="24" spans="2:8" ht="26.25" customHeight="1" x14ac:dyDescent="0.25">
      <c r="B24" s="346"/>
      <c r="C24" s="348" t="s">
        <v>1661</v>
      </c>
      <c r="D24" s="346"/>
      <c r="E24" s="341"/>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f>56500+253200</f>
        <v>309700</v>
      </c>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Litchfield School District</v>
      </c>
      <c r="C5" s="363"/>
      <c r="D5" s="363"/>
      <c r="E5" s="363"/>
      <c r="F5" s="363"/>
    </row>
    <row r="8" spans="1:9" ht="18" x14ac:dyDescent="0.25">
      <c r="A8" s="317" t="s">
        <v>1576</v>
      </c>
      <c r="F8" s="324" t="s">
        <v>1594</v>
      </c>
    </row>
    <row r="9" spans="1:9" ht="15" x14ac:dyDescent="0.2">
      <c r="A9" s="315" t="s">
        <v>1577</v>
      </c>
      <c r="B9" s="318">
        <f>'DOE25'!G97</f>
        <v>30706.07</v>
      </c>
      <c r="F9" s="315" t="s">
        <v>1590</v>
      </c>
    </row>
    <row r="10" spans="1:9" ht="15" x14ac:dyDescent="0.2">
      <c r="A10" s="315" t="s">
        <v>1578</v>
      </c>
      <c r="B10" s="318">
        <f>'DOE25'!G112-'DOE25'!G97</f>
        <v>0</v>
      </c>
      <c r="F10" s="315" t="s">
        <v>1591</v>
      </c>
    </row>
    <row r="11" spans="1:9" ht="15" x14ac:dyDescent="0.2">
      <c r="A11" s="315" t="s">
        <v>1579</v>
      </c>
      <c r="B11" s="318">
        <f>'DOE25'!G140</f>
        <v>5567.68</v>
      </c>
      <c r="F11" s="315" t="s">
        <v>1592</v>
      </c>
    </row>
    <row r="12" spans="1:9" ht="15" x14ac:dyDescent="0.2">
      <c r="A12" s="315" t="s">
        <v>1580</v>
      </c>
      <c r="B12" s="318">
        <f>'DOE25'!G170</f>
        <v>326835.84999999998</v>
      </c>
      <c r="F12" s="315" t="s">
        <v>1593</v>
      </c>
    </row>
    <row r="13" spans="1:9" ht="15" x14ac:dyDescent="0.2">
      <c r="A13" s="315" t="s">
        <v>1581</v>
      </c>
      <c r="B13" s="318">
        <f>'DOE25'!G193-'DOE25'!G180</f>
        <v>0</v>
      </c>
      <c r="F13" s="315" t="s">
        <v>1603</v>
      </c>
    </row>
    <row r="14" spans="1:9" ht="18" x14ac:dyDescent="0.25">
      <c r="A14" s="317" t="s">
        <v>732</v>
      </c>
      <c r="B14" s="319">
        <f>SUM(B9:B13)</f>
        <v>363109.6</v>
      </c>
    </row>
    <row r="16" spans="1:9" ht="18" x14ac:dyDescent="0.25">
      <c r="A16" s="317" t="s">
        <v>786</v>
      </c>
      <c r="F16" s="324" t="s">
        <v>1595</v>
      </c>
    </row>
    <row r="17" spans="1:6" ht="15" x14ac:dyDescent="0.2">
      <c r="A17" s="315" t="s">
        <v>1582</v>
      </c>
      <c r="B17" s="318">
        <f>'DOE25'!L363-'DOE25'!L362</f>
        <v>508949.5</v>
      </c>
      <c r="F17" s="315" t="s">
        <v>1596</v>
      </c>
    </row>
    <row r="18" spans="1:6" ht="15" x14ac:dyDescent="0.2">
      <c r="A18" s="315" t="s">
        <v>1583</v>
      </c>
      <c r="B18" s="328"/>
      <c r="F18" s="324" t="s">
        <v>1620</v>
      </c>
    </row>
    <row r="19" spans="1:6" ht="18" x14ac:dyDescent="0.25">
      <c r="A19" s="317" t="s">
        <v>725</v>
      </c>
      <c r="B19" s="319">
        <f>SUM(B17:B18)</f>
        <v>508949.5</v>
      </c>
    </row>
    <row r="21" spans="1:6" ht="18.75" thickBot="1" x14ac:dyDescent="0.3">
      <c r="A21" s="317" t="s">
        <v>1584</v>
      </c>
    </row>
    <row r="22" spans="1:6" ht="18.75" thickTop="1" x14ac:dyDescent="0.25">
      <c r="A22" s="317" t="s">
        <v>1585</v>
      </c>
      <c r="B22" s="323">
        <f>B14-B19</f>
        <v>-145839.90000000002</v>
      </c>
      <c r="F22" s="315" t="s">
        <v>1597</v>
      </c>
    </row>
    <row r="26" spans="1:6" ht="18" x14ac:dyDescent="0.25">
      <c r="A26" s="317" t="s">
        <v>186</v>
      </c>
    </row>
    <row r="27" spans="1:6" ht="15" x14ac:dyDescent="0.2">
      <c r="A27" s="315" t="s">
        <v>1586</v>
      </c>
      <c r="B27" s="318">
        <f>'DOE25'!G180</f>
        <v>145839.9</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43108</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30" sqref="H3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Litchfield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5813052.4999999981</v>
      </c>
      <c r="C9" s="229">
        <f>'DOE25'!G198+'DOE25'!G216+'DOE25'!G234+'DOE25'!G277+'DOE25'!G296+'DOE25'!G315</f>
        <v>2573248.2200000002</v>
      </c>
    </row>
    <row r="10" spans="1:3" x14ac:dyDescent="0.2">
      <c r="A10" t="s">
        <v>775</v>
      </c>
      <c r="B10" s="240">
        <v>5300898.25</v>
      </c>
      <c r="C10" s="240">
        <v>2346534.2799999998</v>
      </c>
    </row>
    <row r="11" spans="1:3" x14ac:dyDescent="0.2">
      <c r="A11" t="s">
        <v>776</v>
      </c>
      <c r="B11" s="240">
        <v>133652.34</v>
      </c>
      <c r="C11" s="240">
        <v>59163.519999999997</v>
      </c>
    </row>
    <row r="12" spans="1:3" x14ac:dyDescent="0.2">
      <c r="A12" t="s">
        <v>777</v>
      </c>
      <c r="B12" s="240">
        <f>5813052.5-5300898.25-133652.34</f>
        <v>378501.91000000003</v>
      </c>
      <c r="C12" s="240">
        <v>167550.42000000001</v>
      </c>
    </row>
    <row r="13" spans="1:3" x14ac:dyDescent="0.2">
      <c r="A13" t="str">
        <f>IF(B9=B13,IF(C9=C13,"Check Total OK","Check Total Error"),"Check Total Error")</f>
        <v>Check Total OK</v>
      </c>
      <c r="B13" s="231">
        <f>SUM(B10:B12)</f>
        <v>5813052.5</v>
      </c>
      <c r="C13" s="231">
        <f>SUM(C10:C12)</f>
        <v>2573248.2199999997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2157053.75</v>
      </c>
      <c r="C18" s="229">
        <f>'DOE25'!G199+'DOE25'!G217+'DOE25'!G235+'DOE25'!G278+'DOE25'!G297+'DOE25'!G316</f>
        <v>619243.88</v>
      </c>
    </row>
    <row r="19" spans="1:3" x14ac:dyDescent="0.2">
      <c r="A19" t="s">
        <v>775</v>
      </c>
      <c r="B19" s="240">
        <v>1042435.65</v>
      </c>
      <c r="C19" s="240">
        <v>299260.92</v>
      </c>
    </row>
    <row r="20" spans="1:3" x14ac:dyDescent="0.2">
      <c r="A20" t="s">
        <v>776</v>
      </c>
      <c r="B20" s="240">
        <v>1015466.28</v>
      </c>
      <c r="C20" s="240">
        <v>291518.59999999998</v>
      </c>
    </row>
    <row r="21" spans="1:3" x14ac:dyDescent="0.2">
      <c r="A21" t="s">
        <v>777</v>
      </c>
      <c r="B21" s="240">
        <f>2157053.75-1042435.65-1015466.28</f>
        <v>99151.820000000065</v>
      </c>
      <c r="C21" s="240">
        <v>28464.36</v>
      </c>
    </row>
    <row r="22" spans="1:3" x14ac:dyDescent="0.2">
      <c r="A22" t="str">
        <f>IF(B18=B22,IF(C18=C22,"Check Total OK","Check Total Error"),"Check Total Error")</f>
        <v>Check Total OK</v>
      </c>
      <c r="B22" s="231">
        <f>SUM(B19:B21)</f>
        <v>2157053.75</v>
      </c>
      <c r="C22" s="231">
        <f>SUM(C19:C21)</f>
        <v>619243.88</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328474.40000000002</v>
      </c>
      <c r="C36" s="235">
        <f>'DOE25'!G201+'DOE25'!G219+'DOE25'!G237+'DOE25'!G280+'DOE25'!G299+'DOE25'!G318</f>
        <v>80981.040000000008</v>
      </c>
    </row>
    <row r="37" spans="1:3" x14ac:dyDescent="0.2">
      <c r="A37" t="s">
        <v>775</v>
      </c>
      <c r="B37" s="240">
        <v>244974.4</v>
      </c>
      <c r="C37" s="240">
        <v>60395.21</v>
      </c>
    </row>
    <row r="38" spans="1:3" x14ac:dyDescent="0.2">
      <c r="A38" t="s">
        <v>776</v>
      </c>
      <c r="B38" s="240">
        <v>0</v>
      </c>
      <c r="C38" s="240">
        <v>0</v>
      </c>
    </row>
    <row r="39" spans="1:3" x14ac:dyDescent="0.2">
      <c r="A39" t="s">
        <v>777</v>
      </c>
      <c r="B39" s="240">
        <f>328474.4-244974.4</f>
        <v>83500.000000000029</v>
      </c>
      <c r="C39" s="240">
        <v>20585.830000000002</v>
      </c>
    </row>
    <row r="40" spans="1:3" x14ac:dyDescent="0.2">
      <c r="A40" t="str">
        <f>IF(B36=B40,IF(C36=C40,"Check Total OK","Check Total Error"),"Check Total Error")</f>
        <v>Check Total OK</v>
      </c>
      <c r="B40" s="231">
        <f>SUM(B37:B39)</f>
        <v>328474.40000000002</v>
      </c>
      <c r="C40" s="231">
        <f>SUM(C37:C39)</f>
        <v>80981.040000000008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Litchfield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12368065.800000001</v>
      </c>
      <c r="D5" s="20">
        <f>SUM('DOE25'!L198:L201)+SUM('DOE25'!L216:L219)+SUM('DOE25'!L234:L237)-F5-G5-H5</f>
        <v>12275923.24</v>
      </c>
      <c r="E5" s="243"/>
      <c r="F5" s="244"/>
      <c r="G5" s="53">
        <f>SUM('DOE25'!J198:J201)+SUM('DOE25'!J216:J219)+SUM('DOE25'!J234:J237)</f>
        <v>64501.13</v>
      </c>
      <c r="H5" s="53">
        <f>SUM('DOE25'!K198:K201)+SUM('DOE25'!K216:K219)+SUM('DOE25'!K234:K237)</f>
        <v>27641.430000000004</v>
      </c>
      <c r="I5" s="254"/>
    </row>
    <row r="6" spans="1:9" x14ac:dyDescent="0.2">
      <c r="A6" s="32">
        <v>2100</v>
      </c>
      <c r="B6" t="s">
        <v>796</v>
      </c>
      <c r="C6" s="273">
        <f t="shared" si="0"/>
        <v>1817588.5699999998</v>
      </c>
      <c r="D6" s="20">
        <f>'DOE25'!L203+'DOE25'!L221+'DOE25'!L239-F6-G6-H6</f>
        <v>1813223.94</v>
      </c>
      <c r="E6" s="243"/>
      <c r="F6" s="244"/>
      <c r="G6" s="53">
        <f>'DOE25'!J203+'DOE25'!J221+'DOE25'!J239</f>
        <v>3373.6299999999997</v>
      </c>
      <c r="H6" s="53">
        <f>'DOE25'!K203+'DOE25'!K221+'DOE25'!K239</f>
        <v>991</v>
      </c>
      <c r="I6" s="254"/>
    </row>
    <row r="7" spans="1:9" x14ac:dyDescent="0.2">
      <c r="A7" s="32">
        <v>2200</v>
      </c>
      <c r="B7" t="s">
        <v>821</v>
      </c>
      <c r="C7" s="273">
        <f t="shared" si="0"/>
        <v>834540.27</v>
      </c>
      <c r="D7" s="20">
        <f>'DOE25'!L204+'DOE25'!L222+'DOE25'!L240-F7-G7-H7</f>
        <v>682820.26</v>
      </c>
      <c r="E7" s="243"/>
      <c r="F7" s="244"/>
      <c r="G7" s="53">
        <f>'DOE25'!J204+'DOE25'!J222+'DOE25'!J240</f>
        <v>151645.01</v>
      </c>
      <c r="H7" s="53">
        <f>'DOE25'!K204+'DOE25'!K222+'DOE25'!K240</f>
        <v>75</v>
      </c>
      <c r="I7" s="254"/>
    </row>
    <row r="8" spans="1:9" x14ac:dyDescent="0.2">
      <c r="A8" s="32">
        <v>2300</v>
      </c>
      <c r="B8" t="s">
        <v>797</v>
      </c>
      <c r="C8" s="273">
        <f t="shared" si="0"/>
        <v>232420.38999999993</v>
      </c>
      <c r="D8" s="243"/>
      <c r="E8" s="20">
        <f>'DOE25'!L205+'DOE25'!L223+'DOE25'!L241-F8-G8-H8-D9-D11</f>
        <v>212880.80999999994</v>
      </c>
      <c r="F8" s="244"/>
      <c r="G8" s="53">
        <f>'DOE25'!J205+'DOE25'!J223+'DOE25'!J241</f>
        <v>3384.27</v>
      </c>
      <c r="H8" s="53">
        <f>'DOE25'!K205+'DOE25'!K223+'DOE25'!K241</f>
        <v>16155.31</v>
      </c>
      <c r="I8" s="254"/>
    </row>
    <row r="9" spans="1:9" ht="14.25" x14ac:dyDescent="0.2">
      <c r="A9" s="32">
        <v>2310</v>
      </c>
      <c r="B9" s="185" t="s">
        <v>888</v>
      </c>
      <c r="C9" s="273">
        <f t="shared" si="0"/>
        <v>94834.05</v>
      </c>
      <c r="D9" s="244">
        <v>94834.05</v>
      </c>
      <c r="E9" s="243"/>
      <c r="F9" s="251"/>
      <c r="G9" s="251"/>
      <c r="H9" s="251"/>
      <c r="I9" s="254"/>
    </row>
    <row r="10" spans="1:9" ht="14.25" x14ac:dyDescent="0.2">
      <c r="A10" s="32">
        <v>2317</v>
      </c>
      <c r="B10" s="185" t="s">
        <v>889</v>
      </c>
      <c r="C10" s="273">
        <f t="shared" si="0"/>
        <v>14425</v>
      </c>
      <c r="D10" s="243"/>
      <c r="E10" s="244">
        <v>14425</v>
      </c>
      <c r="F10" s="251"/>
      <c r="G10" s="251"/>
      <c r="H10" s="251"/>
      <c r="I10" s="254"/>
    </row>
    <row r="11" spans="1:9" ht="14.25" x14ac:dyDescent="0.2">
      <c r="A11" s="32">
        <v>2321</v>
      </c>
      <c r="B11" s="185" t="s">
        <v>890</v>
      </c>
      <c r="C11" s="273">
        <f t="shared" si="0"/>
        <v>355305.11</v>
      </c>
      <c r="D11" s="244">
        <v>355305.11</v>
      </c>
      <c r="E11" s="243"/>
      <c r="F11" s="251"/>
      <c r="G11" s="251"/>
      <c r="H11" s="251"/>
      <c r="I11" s="254"/>
    </row>
    <row r="12" spans="1:9" x14ac:dyDescent="0.2">
      <c r="A12" s="32">
        <v>2400</v>
      </c>
      <c r="B12" t="s">
        <v>711</v>
      </c>
      <c r="C12" s="273">
        <f t="shared" si="0"/>
        <v>1342921.97</v>
      </c>
      <c r="D12" s="20">
        <f>'DOE25'!L206+'DOE25'!L224+'DOE25'!L242-F12-G12-H12</f>
        <v>1318003.8799999999</v>
      </c>
      <c r="E12" s="243"/>
      <c r="F12" s="244"/>
      <c r="G12" s="53">
        <f>'DOE25'!J206+'DOE25'!J224+'DOE25'!J242</f>
        <v>0</v>
      </c>
      <c r="H12" s="53">
        <f>'DOE25'!K206+'DOE25'!K224+'DOE25'!K242</f>
        <v>24918.09</v>
      </c>
      <c r="I12" s="254"/>
    </row>
    <row r="13" spans="1:9" x14ac:dyDescent="0.2">
      <c r="A13" s="32">
        <v>2500</v>
      </c>
      <c r="B13" t="s">
        <v>798</v>
      </c>
      <c r="C13" s="273">
        <f t="shared" si="0"/>
        <v>289100.44999999995</v>
      </c>
      <c r="D13" s="243"/>
      <c r="E13" s="20">
        <f>'DOE25'!L207+'DOE25'!L225+'DOE25'!L243-F13-G13-H13</f>
        <v>287564.44999999995</v>
      </c>
      <c r="F13" s="244"/>
      <c r="G13" s="53">
        <f>'DOE25'!J207+'DOE25'!J225+'DOE25'!J243</f>
        <v>0</v>
      </c>
      <c r="H13" s="53">
        <f>'DOE25'!K207+'DOE25'!K225+'DOE25'!K243</f>
        <v>1536</v>
      </c>
      <c r="I13" s="254"/>
    </row>
    <row r="14" spans="1:9" x14ac:dyDescent="0.2">
      <c r="A14" s="32">
        <v>2600</v>
      </c>
      <c r="B14" t="s">
        <v>819</v>
      </c>
      <c r="C14" s="273">
        <f t="shared" si="0"/>
        <v>1925630.09</v>
      </c>
      <c r="D14" s="20">
        <f>'DOE25'!L208+'DOE25'!L226+'DOE25'!L244-F14-G14-H14</f>
        <v>1881348.08</v>
      </c>
      <c r="E14" s="243"/>
      <c r="F14" s="244"/>
      <c r="G14" s="53">
        <f>'DOE25'!J208+'DOE25'!J226+'DOE25'!J244</f>
        <v>44282.010000000009</v>
      </c>
      <c r="H14" s="53">
        <f>'DOE25'!K208+'DOE25'!K226+'DOE25'!K244</f>
        <v>0</v>
      </c>
      <c r="I14" s="254"/>
    </row>
    <row r="15" spans="1:9" x14ac:dyDescent="0.2">
      <c r="A15" s="32">
        <v>2700</v>
      </c>
      <c r="B15" t="s">
        <v>799</v>
      </c>
      <c r="C15" s="273">
        <f t="shared" si="0"/>
        <v>885632.96</v>
      </c>
      <c r="D15" s="20">
        <f>'DOE25'!L209+'DOE25'!L227+'DOE25'!L245-F15-G15-H15</f>
        <v>0</v>
      </c>
      <c r="E15" s="243"/>
      <c r="F15" s="244">
        <v>885632.96</v>
      </c>
      <c r="G15" s="53">
        <f>'DOE25'!J209+'DOE25'!J227+'DOE25'!J245</f>
        <v>0</v>
      </c>
      <c r="H15" s="53">
        <f>'DOE25'!K209+'DOE25'!K227+'DOE25'!K245</f>
        <v>0</v>
      </c>
      <c r="I15" s="254"/>
    </row>
    <row r="16" spans="1:9" x14ac:dyDescent="0.2">
      <c r="A16" s="32">
        <v>2800</v>
      </c>
      <c r="B16" t="s">
        <v>800</v>
      </c>
      <c r="C16" s="273">
        <f t="shared" si="0"/>
        <v>991062.69</v>
      </c>
      <c r="D16" s="243"/>
      <c r="E16" s="20">
        <f>'DOE25'!L210+'DOE25'!L228+'DOE25'!L246-F16-G16-H16</f>
        <v>836270.1399999999</v>
      </c>
      <c r="F16" s="244"/>
      <c r="G16" s="53">
        <f>'DOE25'!J210+'DOE25'!J228+'DOE25'!J246</f>
        <v>149296.06</v>
      </c>
      <c r="H16" s="53">
        <f>'DOE25'!K210+'DOE25'!K228+'DOE25'!K246</f>
        <v>5496.49</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345535.11</v>
      </c>
      <c r="D29" s="281">
        <f>'DOE25'!L359+'DOE25'!L360+'DOE25'!L361-'DOE25'!I368-F29-G29-H29</f>
        <v>336421.94</v>
      </c>
      <c r="E29" s="243"/>
      <c r="F29" s="244"/>
      <c r="G29" s="53">
        <f>'DOE25'!J359+'DOE25'!J360+'DOE25'!J361</f>
        <v>8022.74</v>
      </c>
      <c r="H29" s="53">
        <f>'DOE25'!K359+'DOE25'!K360+'DOE25'!K361</f>
        <v>1090.43</v>
      </c>
      <c r="I29" s="254"/>
    </row>
    <row r="30" spans="1:9" x14ac:dyDescent="0.2">
      <c r="A30" s="32"/>
      <c r="C30" s="274"/>
      <c r="D30" s="20"/>
      <c r="E30" s="278"/>
      <c r="F30" s="268"/>
      <c r="G30" s="53"/>
      <c r="H30" s="53"/>
      <c r="I30" s="254"/>
    </row>
    <row r="31" spans="1:9" x14ac:dyDescent="0.2">
      <c r="A31" s="32" t="s">
        <v>818</v>
      </c>
      <c r="B31" t="s">
        <v>817</v>
      </c>
      <c r="C31" s="273">
        <f>SUM(D31:I31)</f>
        <v>456363.19999999995</v>
      </c>
      <c r="D31" s="20">
        <f>'DOE25'!L291+'DOE25'!L310+'DOE25'!L329+'DOE25'!L334+'DOE25'!L335+'DOE25'!L336-F31-G31-H31</f>
        <v>412977.31999999995</v>
      </c>
      <c r="E31" s="243"/>
      <c r="F31" s="244"/>
      <c r="G31" s="53">
        <f>'DOE25'!J291+'DOE25'!J310+'DOE25'!J329+'DOE25'!J334+'DOE25'!J335+'DOE25'!J336</f>
        <v>43385.880000000005</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19170857.820000004</v>
      </c>
      <c r="E33" s="245">
        <f t="shared" si="1"/>
        <v>1351140.4</v>
      </c>
      <c r="F33" s="245">
        <f t="shared" si="1"/>
        <v>885632.96</v>
      </c>
      <c r="G33" s="245">
        <f t="shared" si="1"/>
        <v>467890.73000000004</v>
      </c>
      <c r="H33" s="245">
        <f t="shared" si="1"/>
        <v>77903.75</v>
      </c>
      <c r="I33" s="245">
        <f t="shared" si="1"/>
        <v>0</v>
      </c>
    </row>
    <row r="35" spans="1:9" ht="12" thickBot="1" x14ac:dyDescent="0.25">
      <c r="B35" s="249" t="s">
        <v>831</v>
      </c>
      <c r="D35" s="250">
        <f>E33</f>
        <v>1351140.4</v>
      </c>
      <c r="E35" s="246"/>
      <c r="F35" s="333" t="s">
        <v>1632</v>
      </c>
      <c r="G35" s="334"/>
      <c r="H35" s="334"/>
      <c r="I35" s="334"/>
    </row>
    <row r="36" spans="1:9" ht="12" thickTop="1" x14ac:dyDescent="0.2">
      <c r="B36" t="s">
        <v>810</v>
      </c>
      <c r="D36" s="20">
        <f>D33</f>
        <v>19170857.820000004</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Litchfield School District</v>
      </c>
      <c r="B2" s="126">
        <f>'DOE25'!B2</f>
        <v>315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7472798.0700000012</v>
      </c>
      <c r="G4" s="300">
        <f>'DOE25'!L212+'DOE25'!L291</f>
        <v>7472798.0700000012</v>
      </c>
      <c r="H4" s="353">
        <f>F4-G4</f>
        <v>0</v>
      </c>
      <c r="I4" s="371" t="str">
        <f>IF(H4=0,"","ISSUES!! Please review page 7 and 11 totals in comparison with total on this page")</f>
        <v/>
      </c>
      <c r="N4"/>
    </row>
    <row r="5" spans="1:18" x14ac:dyDescent="0.2">
      <c r="A5" s="21" t="s">
        <v>1194</v>
      </c>
      <c r="B5" s="301">
        <f>IFERROR(VLOOKUP(A5,'School Tables'!$C$3:$D$365,2,FALSE),"")</f>
        <v>21095</v>
      </c>
      <c r="C5" s="294" t="str">
        <f>IFERROR(INDEX('School Tables'!$B$3:$B$365,MATCH('School Level Expenditures'!B5,'School Tables'!$D$3:$D$365,0)),"")</f>
        <v>Litchfield</v>
      </c>
      <c r="D5" s="291">
        <v>7325565.7500000009</v>
      </c>
      <c r="E5" s="291">
        <v>147232.32000000001</v>
      </c>
      <c r="F5" s="304">
        <f>D5+E5</f>
        <v>7472798.0700000012</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7325565.7500000009</v>
      </c>
      <c r="E21" s="351">
        <f>SUM(E5:E20)</f>
        <v>147232.32000000001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6902493.0499999998</v>
      </c>
      <c r="G24" s="300">
        <f>'DOE25'!L230+'DOE25'!L310</f>
        <v>6902493.0499999998</v>
      </c>
      <c r="H24" s="353">
        <f>F24-G24</f>
        <v>0</v>
      </c>
      <c r="I24" s="371" t="str">
        <f>IF(H24=0,"","ISSUES!! Please review page 8 and 12 totals in comparison with total on this page")</f>
        <v/>
      </c>
      <c r="N24"/>
    </row>
    <row r="25" spans="1:14" x14ac:dyDescent="0.2">
      <c r="A25" s="21" t="s">
        <v>1196</v>
      </c>
      <c r="B25" s="301">
        <f>IFERROR(VLOOKUP(A25,'School Tables'!$I$3:$J$80,2,FALSE),"")</f>
        <v>26640</v>
      </c>
      <c r="C25" s="294" t="str">
        <f t="array" ref="C25">IFERROR(INDEX('School Tables'!$H$3:$H$80,MATCH('School Level Expenditures'!B25,'School Tables'!$J$3:$J$80,0)),"")</f>
        <v>Litchfield</v>
      </c>
      <c r="D25" s="291">
        <f>+'DOE25'!L230</f>
        <v>6692300.3700000001</v>
      </c>
      <c r="E25" s="291">
        <v>210192.68</v>
      </c>
      <c r="F25" s="304">
        <f>D25+E25</f>
        <v>6902493.0499999998</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6692300.3700000001</v>
      </c>
      <c r="E33" s="351">
        <f>SUM(E25:E32)</f>
        <v>210192.68</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7218174.4300000006</v>
      </c>
      <c r="G36" s="300">
        <f>'DOE25'!L248+'DOE25'!L329</f>
        <v>7218174.4300000006</v>
      </c>
      <c r="H36" s="353">
        <f>F36-G36</f>
        <v>0</v>
      </c>
      <c r="I36" s="371" t="str">
        <f>IF(H36=0,"","ISSUES!! Please review page 9 and 13 totals in comparison with total on this page")</f>
        <v/>
      </c>
      <c r="N36"/>
    </row>
    <row r="37" spans="1:14" x14ac:dyDescent="0.2">
      <c r="A37" s="21" t="s">
        <v>1195</v>
      </c>
      <c r="B37" s="301">
        <f>IFERROR(VLOOKUP(A37,'School Tables'!$O$3:$P$118,2,FALSE),"")</f>
        <v>27715</v>
      </c>
      <c r="C37" s="294" t="str">
        <f t="array" ref="C37">IFERROR(INDEX('School Tables'!$N$3:$N$118,MATCH('School Level Expenditures'!B37,'School Tables'!$P$3:$P$118,0)),"")</f>
        <v>Litchfield</v>
      </c>
      <c r="D37" s="291">
        <f>+'DOE25'!L248</f>
        <v>7119236.2300000004</v>
      </c>
      <c r="E37" s="291">
        <v>98938.199999999983</v>
      </c>
      <c r="F37" s="304">
        <f t="shared" ref="F37:F42" si="2">D37+E37</f>
        <v>7218174.4300000006</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7119236.2300000004</v>
      </c>
      <c r="E43" s="352">
        <f>SUM(E37:E42)</f>
        <v>98938.199999999983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Litchfield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2296791.5299999998</v>
      </c>
      <c r="D8" s="95">
        <f>'DOE25'!G9</f>
        <v>-195205.44</v>
      </c>
      <c r="E8" s="95">
        <f>'DOE25'!H9</f>
        <v>61254.41</v>
      </c>
      <c r="F8" s="95">
        <f>'DOE25'!I9</f>
        <v>-202003.18</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145839.79999999999</v>
      </c>
      <c r="E11" s="95">
        <f>'DOE25'!H12</f>
        <v>309700</v>
      </c>
      <c r="F11" s="95">
        <f>'DOE25'!I12</f>
        <v>682180.99</v>
      </c>
      <c r="G11" s="95">
        <f>'DOE25'!J12</f>
        <v>0</v>
      </c>
      <c r="H11" s="124"/>
      <c r="I11" s="124"/>
    </row>
    <row r="12" spans="1:9" x14ac:dyDescent="0.2">
      <c r="A12" s="1" t="s">
        <v>143</v>
      </c>
      <c r="B12" s="6">
        <v>140</v>
      </c>
      <c r="C12" s="95">
        <f>'DOE25'!F13</f>
        <v>0</v>
      </c>
      <c r="D12" s="95">
        <f>'DOE25'!G13</f>
        <v>69461.100000000006</v>
      </c>
      <c r="E12" s="95">
        <f>'DOE25'!H13</f>
        <v>89728.72</v>
      </c>
      <c r="F12" s="95">
        <f>'DOE25'!I13</f>
        <v>0</v>
      </c>
      <c r="G12" s="95">
        <f>'DOE25'!J13</f>
        <v>1343833.12</v>
      </c>
      <c r="H12" s="124"/>
      <c r="I12" s="124"/>
    </row>
    <row r="13" spans="1:9" x14ac:dyDescent="0.2">
      <c r="A13" s="1" t="s">
        <v>144</v>
      </c>
      <c r="B13" s="6">
        <v>150</v>
      </c>
      <c r="C13" s="95">
        <f>'DOE25'!F14</f>
        <v>4826.75</v>
      </c>
      <c r="D13" s="95">
        <f>'DOE25'!G14</f>
        <v>725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2301618.2799999998</v>
      </c>
      <c r="D18" s="41">
        <f>SUM(D8:D17)</f>
        <v>20820.459999999992</v>
      </c>
      <c r="E18" s="41">
        <f>SUM(E8:E17)</f>
        <v>460683.13</v>
      </c>
      <c r="F18" s="41">
        <f>SUM(F8:F17)</f>
        <v>480177.81</v>
      </c>
      <c r="G18" s="41">
        <f>SUM(G8:G17)</f>
        <v>1343833.12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895868.53</v>
      </c>
      <c r="D21" s="95">
        <f>'DOE25'!G22</f>
        <v>0</v>
      </c>
      <c r="E21" s="95">
        <f>'DOE25'!H22</f>
        <v>126663.75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73587.64</v>
      </c>
      <c r="D23" s="95">
        <f>'DOE25'!G24</f>
        <v>0</v>
      </c>
      <c r="E23" s="95">
        <f>'DOE25'!H24</f>
        <v>0</v>
      </c>
      <c r="F23" s="95">
        <f>'DOE25'!I24</f>
        <v>10104</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30267.599999999999</v>
      </c>
      <c r="D27" s="95">
        <f>'DOE25'!G28</f>
        <v>0</v>
      </c>
      <c r="E27" s="95">
        <f>'DOE25'!H28</f>
        <v>0</v>
      </c>
      <c r="F27" s="95">
        <f>'DOE25'!I28</f>
        <v>0</v>
      </c>
      <c r="G27" s="24" t="s">
        <v>288</v>
      </c>
      <c r="H27" s="124"/>
      <c r="I27" s="124"/>
    </row>
    <row r="28" spans="1:9" x14ac:dyDescent="0.2">
      <c r="A28" s="1" t="s">
        <v>157</v>
      </c>
      <c r="B28" s="6">
        <v>470</v>
      </c>
      <c r="C28" s="95">
        <f>'DOE25'!F29</f>
        <v>594325.30000000005</v>
      </c>
      <c r="D28" s="95">
        <f>'DOE25'!G29</f>
        <v>20820.46</v>
      </c>
      <c r="E28" s="95">
        <f>'DOE25'!H29</f>
        <v>24319.38</v>
      </c>
      <c r="F28" s="95">
        <f>'DOE25'!I29</f>
        <v>0</v>
      </c>
      <c r="G28" s="24" t="s">
        <v>288</v>
      </c>
      <c r="H28" s="124"/>
      <c r="I28" s="124"/>
    </row>
    <row r="29" spans="1:9" x14ac:dyDescent="0.2">
      <c r="A29" s="1" t="s">
        <v>158</v>
      </c>
      <c r="B29" s="6">
        <v>480</v>
      </c>
      <c r="C29" s="95">
        <f>'DOE25'!F30</f>
        <v>4852.2299999999996</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1598901.3</v>
      </c>
      <c r="D31" s="41">
        <f>SUM(D21:D30)</f>
        <v>20820.46</v>
      </c>
      <c r="E31" s="41">
        <f>SUM(E21:E30)</f>
        <v>150983.13</v>
      </c>
      <c r="F31" s="41">
        <f>SUM(F21:F30)</f>
        <v>10104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309700</v>
      </c>
      <c r="F47" s="95">
        <f>'DOE25'!I48</f>
        <v>470073.81</v>
      </c>
      <c r="G47" s="95">
        <f>'DOE25'!J48</f>
        <v>1343833.12</v>
      </c>
      <c r="H47" s="124"/>
      <c r="I47" s="124"/>
    </row>
    <row r="48" spans="1:9" x14ac:dyDescent="0.2">
      <c r="A48" s="1" t="s">
        <v>882</v>
      </c>
      <c r="B48" s="6">
        <v>753</v>
      </c>
      <c r="C48" s="95">
        <f>'DOE25'!F49</f>
        <v>264821.90000000002</v>
      </c>
      <c r="D48" s="95">
        <f>'DOE25'!G49</f>
        <v>0</v>
      </c>
      <c r="E48" s="95">
        <f>'DOE25'!H49</f>
        <v>0</v>
      </c>
      <c r="F48" s="95">
        <f>'DOE25'!I49</f>
        <v>0</v>
      </c>
      <c r="G48" s="95">
        <f>'DOE25'!J49</f>
        <v>0</v>
      </c>
      <c r="H48" s="124"/>
      <c r="I48" s="124"/>
    </row>
    <row r="49" spans="1:9" ht="12" thickBot="1" x14ac:dyDescent="0.25">
      <c r="A49" s="29" t="s">
        <v>883</v>
      </c>
      <c r="B49" s="71">
        <v>770</v>
      </c>
      <c r="C49" s="95">
        <f>'DOE25'!F50</f>
        <v>337895.08</v>
      </c>
      <c r="D49" s="24" t="s">
        <v>288</v>
      </c>
      <c r="E49" s="24" t="s">
        <v>288</v>
      </c>
      <c r="F49" s="24" t="s">
        <v>288</v>
      </c>
      <c r="G49" s="24" t="s">
        <v>288</v>
      </c>
      <c r="H49" s="124"/>
      <c r="I49" s="124"/>
    </row>
    <row r="50" spans="1:9" ht="12.75" thickTop="1" thickBot="1" x14ac:dyDescent="0.25">
      <c r="A50" s="38" t="s">
        <v>884</v>
      </c>
      <c r="B50" s="48"/>
      <c r="C50" s="41">
        <f>SUM(C34:C49)</f>
        <v>702716.98</v>
      </c>
      <c r="D50" s="41">
        <f>SUM(D34:D49)</f>
        <v>0</v>
      </c>
      <c r="E50" s="41">
        <f>SUM(E34:E49)</f>
        <v>309700</v>
      </c>
      <c r="F50" s="41">
        <f>SUM(F34:F49)</f>
        <v>470073.81</v>
      </c>
      <c r="G50" s="41">
        <f>SUM(G34:G49)</f>
        <v>1343833.12</v>
      </c>
      <c r="H50" s="124"/>
      <c r="I50" s="124"/>
    </row>
    <row r="51" spans="1:9" ht="12" thickTop="1" x14ac:dyDescent="0.2">
      <c r="A51" s="38" t="s">
        <v>885</v>
      </c>
      <c r="B51" s="2"/>
      <c r="C51" s="41">
        <f>C50+C31</f>
        <v>2301618.2800000003</v>
      </c>
      <c r="D51" s="41">
        <f>D50+D31</f>
        <v>20820.46</v>
      </c>
      <c r="E51" s="41">
        <f>E50+E31</f>
        <v>460683.13</v>
      </c>
      <c r="F51" s="41">
        <f>F50+F31</f>
        <v>480177.81</v>
      </c>
      <c r="G51" s="41">
        <f>G50+G31</f>
        <v>1343833.12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14052478</v>
      </c>
      <c r="D56" s="95">
        <f>'DOE25'!G60</f>
        <v>0</v>
      </c>
      <c r="E56" s="95">
        <f>'DOE25'!H60</f>
        <v>0</v>
      </c>
      <c r="F56" s="95">
        <f>'DOE25'!I60</f>
        <v>0</v>
      </c>
      <c r="G56" s="95">
        <f>'DOE25'!J60</f>
        <v>0</v>
      </c>
      <c r="H56"/>
      <c r="I56"/>
    </row>
    <row r="57" spans="1:9" x14ac:dyDescent="0.2">
      <c r="A57" s="1" t="s">
        <v>164</v>
      </c>
      <c r="B57" s="6" t="s">
        <v>165</v>
      </c>
      <c r="C57" s="95">
        <f>'DOE25'!F79</f>
        <v>28479.68</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1037.02</v>
      </c>
      <c r="D59" s="95">
        <f>'DOE25'!G96</f>
        <v>0</v>
      </c>
      <c r="E59" s="95">
        <f>'DOE25'!H96</f>
        <v>0</v>
      </c>
      <c r="F59" s="95">
        <f>'DOE25'!I96</f>
        <v>0</v>
      </c>
      <c r="G59" s="95">
        <f>'DOE25'!J96</f>
        <v>1703.14</v>
      </c>
      <c r="H59"/>
      <c r="I59"/>
    </row>
    <row r="60" spans="1:9" x14ac:dyDescent="0.2">
      <c r="A60" s="1" t="s">
        <v>170</v>
      </c>
      <c r="B60" s="118" t="s">
        <v>171</v>
      </c>
      <c r="C60" s="24" t="s">
        <v>288</v>
      </c>
      <c r="D60" s="95">
        <f>'DOE25'!G97</f>
        <v>30706.07</v>
      </c>
      <c r="E60" s="24" t="s">
        <v>288</v>
      </c>
      <c r="F60" s="24" t="s">
        <v>288</v>
      </c>
      <c r="G60" s="24" t="s">
        <v>288</v>
      </c>
      <c r="H60"/>
      <c r="I60"/>
    </row>
    <row r="61" spans="1:9" ht="12" thickBot="1" x14ac:dyDescent="0.25">
      <c r="A61" s="1" t="s">
        <v>172</v>
      </c>
      <c r="B61" s="118" t="s">
        <v>173</v>
      </c>
      <c r="C61" s="95">
        <f>SUM('DOE25'!F98:F110)</f>
        <v>20558.98</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50075.68</v>
      </c>
      <c r="D62" s="130">
        <f>SUM(D57:D61)</f>
        <v>30706.07</v>
      </c>
      <c r="E62" s="130">
        <f>SUM(E57:E61)</f>
        <v>0</v>
      </c>
      <c r="F62" s="130">
        <f>SUM(F57:F61)</f>
        <v>0</v>
      </c>
      <c r="G62" s="130">
        <f>SUM(G57:G61)</f>
        <v>1703.14</v>
      </c>
      <c r="H62"/>
      <c r="I62"/>
    </row>
    <row r="63" spans="1:9" ht="12" thickTop="1" x14ac:dyDescent="0.2">
      <c r="A63" s="29" t="s">
        <v>175</v>
      </c>
      <c r="B63" s="6"/>
      <c r="C63" s="22">
        <f>C56+C62</f>
        <v>14102553.68</v>
      </c>
      <c r="D63" s="22">
        <f>D56+D62</f>
        <v>30706.07</v>
      </c>
      <c r="E63" s="22">
        <f>E56+E62</f>
        <v>0</v>
      </c>
      <c r="F63" s="22">
        <f>F56+F62</f>
        <v>0</v>
      </c>
      <c r="G63" s="22">
        <f>G56+G62</f>
        <v>1703.14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6302710.3899999997</v>
      </c>
      <c r="D66" s="24" t="s">
        <v>288</v>
      </c>
      <c r="E66" s="24" t="s">
        <v>288</v>
      </c>
      <c r="F66" s="24" t="s">
        <v>288</v>
      </c>
      <c r="G66" s="24" t="s">
        <v>288</v>
      </c>
      <c r="H66"/>
      <c r="I66"/>
    </row>
    <row r="67" spans="1:9" x14ac:dyDescent="0.2">
      <c r="A67" s="1" t="s">
        <v>770</v>
      </c>
      <c r="B67" s="6">
        <v>3112</v>
      </c>
      <c r="C67" s="95">
        <f>'DOE25'!F118</f>
        <v>1918196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1995.2099999999991</v>
      </c>
      <c r="D69" s="95">
        <f>'DOE25'!G120</f>
        <v>0</v>
      </c>
      <c r="E69" s="95">
        <f>'DOE25'!H120</f>
        <v>0</v>
      </c>
      <c r="F69" s="95">
        <f>'DOE25'!I120</f>
        <v>0</v>
      </c>
      <c r="G69" s="95">
        <f>'DOE25'!J120</f>
        <v>0</v>
      </c>
      <c r="H69"/>
      <c r="I69"/>
    </row>
    <row r="70" spans="1:9" ht="12" thickTop="1" x14ac:dyDescent="0.2">
      <c r="A70" s="29" t="s">
        <v>252</v>
      </c>
      <c r="B70" s="2"/>
      <c r="C70" s="139">
        <f>SUM(C66:C69)</f>
        <v>8222901.5999999996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36094.82</v>
      </c>
      <c r="D75" s="24" t="s">
        <v>288</v>
      </c>
      <c r="E75" s="24" t="s">
        <v>288</v>
      </c>
      <c r="F75" s="24" t="s">
        <v>288</v>
      </c>
      <c r="G75" s="24" t="s">
        <v>288</v>
      </c>
      <c r="H75"/>
      <c r="I75"/>
    </row>
    <row r="76" spans="1:9" x14ac:dyDescent="0.2">
      <c r="A76" s="1" t="s">
        <v>257</v>
      </c>
      <c r="B76" s="6" t="s">
        <v>179</v>
      </c>
      <c r="C76" s="95">
        <f>SUM('DOE25'!F127:F130)</f>
        <v>4894.41</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5567.68</v>
      </c>
      <c r="E77" s="95">
        <f>SUM('DOE25'!H131:H135)</f>
        <v>0</v>
      </c>
      <c r="F77" s="95">
        <f>SUM('DOE25'!I131:I135)</f>
        <v>100000</v>
      </c>
      <c r="G77" s="95">
        <f>SUM('DOE25'!J131:J135)</f>
        <v>0</v>
      </c>
      <c r="H77"/>
      <c r="I77"/>
    </row>
    <row r="78" spans="1:9" ht="12.75" thickTop="1" thickBot="1" x14ac:dyDescent="0.25">
      <c r="A78" s="29" t="s">
        <v>259</v>
      </c>
      <c r="B78" s="6"/>
      <c r="C78" s="130">
        <f>SUM(C72:C77)</f>
        <v>40989.229999999996</v>
      </c>
      <c r="D78" s="130">
        <f>SUM(D72:D77)</f>
        <v>5567.68</v>
      </c>
      <c r="E78" s="130">
        <f>SUM(E72:E77)</f>
        <v>0</v>
      </c>
      <c r="F78" s="130">
        <f>SUM(F72:F77)</f>
        <v>100000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8263890.8300000001</v>
      </c>
      <c r="D81" s="130">
        <f>SUM(D79:D80)+D78+D70</f>
        <v>5567.68</v>
      </c>
      <c r="E81" s="130">
        <f>SUM(E79:E80)+E78+E70</f>
        <v>0</v>
      </c>
      <c r="F81" s="130">
        <f>SUM(F79:F80)+F78+F70</f>
        <v>100000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357113.03</v>
      </c>
      <c r="F87" s="95">
        <f>SUM('DOE25'!I149:I152)</f>
        <v>0</v>
      </c>
      <c r="G87" s="24" t="s">
        <v>288</v>
      </c>
    </row>
    <row r="88" spans="1:9" x14ac:dyDescent="0.2">
      <c r="A88" s="288" t="s">
        <v>747</v>
      </c>
      <c r="B88" s="330" t="s">
        <v>184</v>
      </c>
      <c r="C88" s="331">
        <f>SUM('DOE25'!F153:F162)</f>
        <v>15618.03</v>
      </c>
      <c r="D88" s="331">
        <f>SUM('DOE25'!G153:G162)</f>
        <v>326835.84999999998</v>
      </c>
      <c r="E88" s="331">
        <f>SUM('DOE25'!H153:H162)</f>
        <v>408950.17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15618.03</v>
      </c>
      <c r="D91" s="131">
        <f>SUM(D85:D90)</f>
        <v>326835.84999999998</v>
      </c>
      <c r="E91" s="131">
        <f>SUM(E85:E90)</f>
        <v>766063.2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145839.9</v>
      </c>
      <c r="E96" s="95">
        <f>'DOE25'!H180</f>
        <v>0</v>
      </c>
      <c r="F96" s="95">
        <f>'DOE25'!I180</f>
        <v>810310</v>
      </c>
      <c r="G96" s="95">
        <f>'DOE25'!J180</f>
        <v>878432</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9000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9000</v>
      </c>
      <c r="D103" s="86">
        <f>SUM(D93:D102)</f>
        <v>145839.9</v>
      </c>
      <c r="E103" s="86">
        <f>SUM(E93:E102)</f>
        <v>0</v>
      </c>
      <c r="F103" s="86">
        <f>SUM(F93:F102)</f>
        <v>810310</v>
      </c>
      <c r="G103" s="86">
        <f>SUM(G93:G102)</f>
        <v>878432</v>
      </c>
    </row>
    <row r="104" spans="1:7" ht="12.75" thickTop="1" thickBot="1" x14ac:dyDescent="0.25">
      <c r="A104" s="33" t="s">
        <v>761</v>
      </c>
      <c r="C104" s="86">
        <f>C63+C81+C91+C103</f>
        <v>22391062.539999999</v>
      </c>
      <c r="D104" s="86">
        <f>D63+D81+D91+D103</f>
        <v>508949.5</v>
      </c>
      <c r="E104" s="86">
        <f>E63+E81+E91+E103</f>
        <v>766063.2</v>
      </c>
      <c r="F104" s="86">
        <f>F63+F81+F91+F103</f>
        <v>910310</v>
      </c>
      <c r="G104" s="86">
        <f>G63+G81+G103</f>
        <v>880135.14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8611101.2400000021</v>
      </c>
      <c r="D109" s="24" t="s">
        <v>288</v>
      </c>
      <c r="E109" s="95">
        <f>('DOE25'!L277)+('DOE25'!L296)+('DOE25'!L315)</f>
        <v>77592.950000000012</v>
      </c>
      <c r="F109" s="24" t="s">
        <v>288</v>
      </c>
      <c r="G109" s="24" t="s">
        <v>288</v>
      </c>
    </row>
    <row r="110" spans="1:7" x14ac:dyDescent="0.2">
      <c r="A110" t="s">
        <v>198</v>
      </c>
      <c r="B110" s="32" t="s">
        <v>199</v>
      </c>
      <c r="C110" s="95">
        <f>('DOE25'!L199)+('DOE25'!L217)+('DOE25'!L235)</f>
        <v>3192352.8000000003</v>
      </c>
      <c r="D110" s="24" t="s">
        <v>288</v>
      </c>
      <c r="E110" s="95">
        <f>('DOE25'!L278)+('DOE25'!L297)+('DOE25'!L316)</f>
        <v>188453.5</v>
      </c>
      <c r="F110" s="24" t="s">
        <v>288</v>
      </c>
      <c r="G110" s="24" t="s">
        <v>288</v>
      </c>
    </row>
    <row r="111" spans="1:7" x14ac:dyDescent="0.2">
      <c r="A111" t="s">
        <v>200</v>
      </c>
      <c r="B111" s="32" t="s">
        <v>165</v>
      </c>
      <c r="C111" s="95">
        <f>('DOE25'!L200)+('DOE25'!L218)+('DOE25'!L236)</f>
        <v>29806.63</v>
      </c>
      <c r="D111" s="24" t="s">
        <v>288</v>
      </c>
      <c r="E111" s="95">
        <f>('DOE25'!L279)+('DOE25'!L298)+('DOE25'!L317)</f>
        <v>0</v>
      </c>
      <c r="F111" s="24" t="s">
        <v>288</v>
      </c>
      <c r="G111" s="24" t="s">
        <v>288</v>
      </c>
    </row>
    <row r="112" spans="1:7" x14ac:dyDescent="0.2">
      <c r="A112" t="s">
        <v>201</v>
      </c>
      <c r="B112" s="32" t="s">
        <v>167</v>
      </c>
      <c r="C112" s="95">
        <f>('DOE25'!L201)+('DOE25'!L219)+('DOE25'!L237)</f>
        <v>534805.13000000012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12368065.800000004</v>
      </c>
      <c r="D115" s="86">
        <f>SUM(D109:D114)</f>
        <v>0</v>
      </c>
      <c r="E115" s="86">
        <f>SUM(E109:E114)</f>
        <v>266046.45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1817588.5699999998</v>
      </c>
      <c r="D118" s="24" t="s">
        <v>288</v>
      </c>
      <c r="E118" s="95">
        <f>+('DOE25'!L282)+('DOE25'!L301)+('DOE25'!L320)</f>
        <v>168659.55</v>
      </c>
      <c r="F118" s="24" t="s">
        <v>288</v>
      </c>
      <c r="G118" s="24" t="s">
        <v>288</v>
      </c>
    </row>
    <row r="119" spans="1:7" x14ac:dyDescent="0.2">
      <c r="A119" t="s">
        <v>208</v>
      </c>
      <c r="B119" s="32" t="s">
        <v>209</v>
      </c>
      <c r="C119" s="95">
        <f>('DOE25'!L204)+('DOE25'!L222)+('DOE25'!L240)</f>
        <v>834540.27</v>
      </c>
      <c r="D119" s="24" t="s">
        <v>288</v>
      </c>
      <c r="E119" s="95">
        <f>+('DOE25'!L283)+('DOE25'!L302)+('DOE25'!L321)</f>
        <v>21657.200000000001</v>
      </c>
      <c r="F119" s="24" t="s">
        <v>288</v>
      </c>
      <c r="G119" s="24" t="s">
        <v>288</v>
      </c>
    </row>
    <row r="120" spans="1:7" x14ac:dyDescent="0.2">
      <c r="A120" t="s">
        <v>210</v>
      </c>
      <c r="B120" s="32" t="s">
        <v>211</v>
      </c>
      <c r="C120" s="95">
        <f>('DOE25'!L205)+('DOE25'!L223)+('DOE25'!L241)</f>
        <v>682559.55</v>
      </c>
      <c r="D120" s="24" t="s">
        <v>288</v>
      </c>
      <c r="E120" s="95">
        <f>+('DOE25'!L284)+('DOE25'!L303)+('DOE25'!L322)</f>
        <v>0</v>
      </c>
      <c r="F120" s="24" t="s">
        <v>288</v>
      </c>
      <c r="G120" s="24" t="s">
        <v>288</v>
      </c>
    </row>
    <row r="121" spans="1:7" x14ac:dyDescent="0.2">
      <c r="A121" t="s">
        <v>212</v>
      </c>
      <c r="B121" s="32" t="s">
        <v>213</v>
      </c>
      <c r="C121" s="95">
        <f>('DOE25'!L206)+('DOE25'!L224)+('DOE25'!L242)</f>
        <v>1342921.97</v>
      </c>
      <c r="D121" s="24" t="s">
        <v>288</v>
      </c>
      <c r="E121" s="95">
        <f>+('DOE25'!L285)+('DOE25'!L304)+('DOE25'!L323)</f>
        <v>0</v>
      </c>
      <c r="F121" s="24" t="s">
        <v>288</v>
      </c>
      <c r="G121" s="24" t="s">
        <v>288</v>
      </c>
    </row>
    <row r="122" spans="1:7" x14ac:dyDescent="0.2">
      <c r="A122" t="s">
        <v>214</v>
      </c>
      <c r="B122" s="32" t="s">
        <v>215</v>
      </c>
      <c r="C122" s="95">
        <f>('DOE25'!L207)+('DOE25'!L225)+('DOE25'!L243)</f>
        <v>289100.44999999995</v>
      </c>
      <c r="D122" s="24" t="s">
        <v>288</v>
      </c>
      <c r="E122" s="95">
        <f>+('DOE25'!L286)+('DOE25'!L305)+('DOE25'!L324)</f>
        <v>0</v>
      </c>
      <c r="F122" s="24" t="s">
        <v>288</v>
      </c>
      <c r="G122" s="24" t="s">
        <v>288</v>
      </c>
    </row>
    <row r="123" spans="1:7" x14ac:dyDescent="0.2">
      <c r="A123" t="s">
        <v>216</v>
      </c>
      <c r="B123" s="32" t="s">
        <v>217</v>
      </c>
      <c r="C123" s="95">
        <f>('DOE25'!L208)+('DOE25'!L226)+('DOE25'!L244)</f>
        <v>1925630.09</v>
      </c>
      <c r="D123" s="24" t="s">
        <v>288</v>
      </c>
      <c r="E123" s="95">
        <f>+('DOE25'!L287)+('DOE25'!L306)+('DOE25'!L325)</f>
        <v>0</v>
      </c>
      <c r="F123" s="24" t="s">
        <v>288</v>
      </c>
      <c r="G123" s="24" t="s">
        <v>288</v>
      </c>
    </row>
    <row r="124" spans="1:7" x14ac:dyDescent="0.2">
      <c r="A124" t="s">
        <v>218</v>
      </c>
      <c r="B124" s="32" t="s">
        <v>219</v>
      </c>
      <c r="C124" s="95">
        <f>('DOE25'!L209)+('DOE25'!L227)+('DOE25'!L245+'DOE25'!L255)</f>
        <v>885632.96</v>
      </c>
      <c r="D124" s="24" t="s">
        <v>288</v>
      </c>
      <c r="E124" s="95">
        <f>+('DOE25'!L288)+('DOE25'!L307)+('DOE25'!L326)</f>
        <v>0</v>
      </c>
      <c r="F124" s="24" t="s">
        <v>288</v>
      </c>
      <c r="G124" s="24" t="s">
        <v>288</v>
      </c>
    </row>
    <row r="125" spans="1:7" x14ac:dyDescent="0.2">
      <c r="A125" t="s">
        <v>220</v>
      </c>
      <c r="B125" s="32" t="s">
        <v>221</v>
      </c>
      <c r="C125" s="95">
        <f>('DOE25'!L210)+('DOE25'!L228)+('DOE25'!L246)</f>
        <v>991062.69</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508949.5</v>
      </c>
      <c r="E127" s="24" t="s">
        <v>288</v>
      </c>
      <c r="F127" s="24" t="s">
        <v>288</v>
      </c>
      <c r="G127" s="24" t="s">
        <v>288</v>
      </c>
    </row>
    <row r="128" spans="1:7" ht="12.75" thickTop="1" thickBot="1" x14ac:dyDescent="0.25">
      <c r="A128" s="33" t="s">
        <v>226</v>
      </c>
      <c r="C128" s="86">
        <f>SUM(C118:C127)</f>
        <v>8769036.5499999989</v>
      </c>
      <c r="D128" s="86">
        <f>SUM(D118:D127)</f>
        <v>508949.5</v>
      </c>
      <c r="E128" s="86">
        <f>SUM(E118:E127)</f>
        <v>190316.75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440236.18999999994</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9000</v>
      </c>
    </row>
    <row r="135" spans="1:7" x14ac:dyDescent="0.2">
      <c r="A135" t="s">
        <v>233</v>
      </c>
      <c r="B135" s="32" t="s">
        <v>234</v>
      </c>
      <c r="C135" s="95">
        <f>'DOE25'!L264</f>
        <v>145839.9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810310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880135.14000000013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-1703.1400000001304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1834581.9</v>
      </c>
      <c r="D144" s="141">
        <f>SUM(D130:D143)</f>
        <v>0</v>
      </c>
      <c r="E144" s="141">
        <f>SUM(E130:E143)</f>
        <v>0</v>
      </c>
      <c r="F144" s="141">
        <f>SUM(F130:F143)</f>
        <v>440236.18999999994</v>
      </c>
      <c r="G144" s="141">
        <f>SUM(G130:G143)</f>
        <v>9000</v>
      </c>
    </row>
    <row r="145" spans="1:9" ht="12.75" thickTop="1" thickBot="1" x14ac:dyDescent="0.25">
      <c r="A145" s="33" t="s">
        <v>244</v>
      </c>
      <c r="C145" s="86">
        <f>(C115+C128+C144)</f>
        <v>22971684.25</v>
      </c>
      <c r="D145" s="86">
        <f>(D115+D128+D144)</f>
        <v>508949.5</v>
      </c>
      <c r="E145" s="86">
        <f>(E115+E128+E144)</f>
        <v>456363.2</v>
      </c>
      <c r="F145" s="86">
        <f>(F115+F128+F144)</f>
        <v>440236.18999999994</v>
      </c>
      <c r="G145" s="86">
        <f>(G115+G128+G144)</f>
        <v>9000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9"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Litchfield School District</v>
      </c>
    </row>
    <row r="3" spans="1:4" x14ac:dyDescent="0.2">
      <c r="B3" s="188" t="s">
        <v>1666</v>
      </c>
    </row>
    <row r="4" spans="1:4" x14ac:dyDescent="0.2">
      <c r="B4" t="s">
        <v>61</v>
      </c>
      <c r="C4" s="179">
        <f>IF('DOE25'!F666+'DOE25'!F671=0,0,ROUND('DOE25'!F673,0))</f>
        <v>17791</v>
      </c>
    </row>
    <row r="5" spans="1:4" x14ac:dyDescent="0.2">
      <c r="B5" t="s">
        <v>700</v>
      </c>
      <c r="C5" s="179">
        <f>IF('DOE25'!G666+'DOE25'!G671=0,0,ROUND('DOE25'!G673,0))</f>
        <v>18341</v>
      </c>
    </row>
    <row r="6" spans="1:4" x14ac:dyDescent="0.2">
      <c r="B6" t="s">
        <v>62</v>
      </c>
      <c r="C6" s="179">
        <f>IF('DOE25'!H666+'DOE25'!H671=0,0,ROUND('DOE25'!H673,0))</f>
        <v>15654</v>
      </c>
    </row>
    <row r="7" spans="1:4" x14ac:dyDescent="0.2">
      <c r="B7" t="s">
        <v>701</v>
      </c>
      <c r="C7" s="179">
        <f>IF('DOE25'!I666+'DOE25'!I671=0,0,ROUND('DOE25'!I673,0))</f>
        <v>17205</v>
      </c>
    </row>
    <row r="9" spans="1:4" x14ac:dyDescent="0.2">
      <c r="A9" s="187" t="s">
        <v>94</v>
      </c>
      <c r="B9" s="188" t="s">
        <v>1671</v>
      </c>
      <c r="C9" s="181" t="s">
        <v>720</v>
      </c>
      <c r="D9" s="181" t="s">
        <v>721</v>
      </c>
    </row>
    <row r="10" spans="1:4" x14ac:dyDescent="0.2">
      <c r="A10">
        <v>1100</v>
      </c>
      <c r="B10" t="s">
        <v>702</v>
      </c>
      <c r="C10" s="179">
        <f>ROUND('DOE25'!L198+'DOE25'!L216+'DOE25'!L234+'DOE25'!L277+'DOE25'!L296+'DOE25'!L315,0)</f>
        <v>8688694</v>
      </c>
      <c r="D10" s="182">
        <f>ROUND((C10/$C$28)*100,1)</f>
        <v>39.4</v>
      </c>
    </row>
    <row r="11" spans="1:4" x14ac:dyDescent="0.2">
      <c r="A11">
        <v>1200</v>
      </c>
      <c r="B11" t="s">
        <v>703</v>
      </c>
      <c r="C11" s="179">
        <f>ROUND('DOE25'!L199+'DOE25'!L217+'DOE25'!L235+'DOE25'!L278+'DOE25'!L297+'DOE25'!L316,0)</f>
        <v>3380806</v>
      </c>
      <c r="D11" s="182">
        <f>ROUND((C11/$C$28)*100,1)</f>
        <v>15.3</v>
      </c>
    </row>
    <row r="12" spans="1:4" x14ac:dyDescent="0.2">
      <c r="A12">
        <v>1300</v>
      </c>
      <c r="B12" t="s">
        <v>704</v>
      </c>
      <c r="C12" s="179">
        <f>ROUND('DOE25'!L200+'DOE25'!L218+'DOE25'!L236+'DOE25'!L279+'DOE25'!L298+'DOE25'!L317,0)</f>
        <v>29807</v>
      </c>
      <c r="D12" s="182">
        <f>ROUND((C12/$C$28)*100,1)</f>
        <v>0.1</v>
      </c>
    </row>
    <row r="13" spans="1:4" x14ac:dyDescent="0.2">
      <c r="A13">
        <v>1400</v>
      </c>
      <c r="B13" t="s">
        <v>705</v>
      </c>
      <c r="C13" s="179">
        <f>ROUND('DOE25'!L201+'DOE25'!L219+'DOE25'!L237+'DOE25'!L280+'DOE25'!L299+'DOE25'!L318,0)</f>
        <v>534805</v>
      </c>
      <c r="D13" s="182">
        <f>ROUND((C13/$C$28)*100,1)</f>
        <v>2.4</v>
      </c>
    </row>
    <row r="14" spans="1:4" x14ac:dyDescent="0.2">
      <c r="D14" s="182"/>
    </row>
    <row r="15" spans="1:4" x14ac:dyDescent="0.2">
      <c r="A15">
        <v>2100</v>
      </c>
      <c r="B15" t="s">
        <v>706</v>
      </c>
      <c r="C15" s="179">
        <f>ROUND('DOE25'!L203+'DOE25'!L221+'DOE25'!L239+'DOE25'!L282+'DOE25'!L301+'DOE25'!L320,0)</f>
        <v>1986248</v>
      </c>
      <c r="D15" s="182">
        <f t="shared" ref="D15:D27" si="0">ROUND((C15/$C$28)*100,1)</f>
        <v>9</v>
      </c>
    </row>
    <row r="16" spans="1:4" x14ac:dyDescent="0.2">
      <c r="A16">
        <v>2200</v>
      </c>
      <c r="B16" t="s">
        <v>707</v>
      </c>
      <c r="C16" s="179">
        <f>ROUND('DOE25'!L204+'DOE25'!L222+'DOE25'!L240+'DOE25'!L283+'DOE25'!L302+'DOE25'!L321,0)</f>
        <v>856197</v>
      </c>
      <c r="D16" s="182">
        <f t="shared" si="0"/>
        <v>3.9</v>
      </c>
    </row>
    <row r="17" spans="1:4" x14ac:dyDescent="0.2">
      <c r="A17" s="183" t="s">
        <v>723</v>
      </c>
      <c r="B17" t="s">
        <v>738</v>
      </c>
      <c r="C17" s="179">
        <f>ROUND('DOE25'!L205+'DOE25'!L210+'DOE25'!L223+'DOE25'!L228+'DOE25'!L241+'DOE25'!L246+'DOE25'!L284+'DOE25'!L289+'DOE25'!L303+'DOE25'!L308+'DOE25'!L322+'DOE25'!L327,0)</f>
        <v>1673622</v>
      </c>
      <c r="D17" s="182">
        <f t="shared" si="0"/>
        <v>7.6</v>
      </c>
    </row>
    <row r="18" spans="1:4" x14ac:dyDescent="0.2">
      <c r="A18">
        <v>2400</v>
      </c>
      <c r="B18" t="s">
        <v>711</v>
      </c>
      <c r="C18" s="179">
        <f>ROUND('DOE25'!L206+'DOE25'!L224+'DOE25'!L242+'DOE25'!L285+'DOE25'!L304+'DOE25'!L323,0)</f>
        <v>1342922</v>
      </c>
      <c r="D18" s="182">
        <f t="shared" si="0"/>
        <v>6.1</v>
      </c>
    </row>
    <row r="19" spans="1:4" x14ac:dyDescent="0.2">
      <c r="A19">
        <v>2500</v>
      </c>
      <c r="B19" t="s">
        <v>708</v>
      </c>
      <c r="C19" s="179">
        <f>ROUND('DOE25'!L207+'DOE25'!L225+'DOE25'!L243+'DOE25'!L286+'DOE25'!L305+'DOE25'!L324,0)</f>
        <v>289100</v>
      </c>
      <c r="D19" s="182">
        <f t="shared" si="0"/>
        <v>1.3</v>
      </c>
    </row>
    <row r="20" spans="1:4" x14ac:dyDescent="0.2">
      <c r="A20">
        <v>2600</v>
      </c>
      <c r="B20" t="s">
        <v>709</v>
      </c>
      <c r="C20" s="179">
        <f>ROUND('DOE25'!L208+'DOE25'!L226+'DOE25'!L244+'DOE25'!L287+'DOE25'!L306+'DOE25'!L325,0)</f>
        <v>1925630</v>
      </c>
      <c r="D20" s="182">
        <f t="shared" si="0"/>
        <v>8.6999999999999993</v>
      </c>
    </row>
    <row r="21" spans="1:4" x14ac:dyDescent="0.2">
      <c r="A21">
        <v>2700</v>
      </c>
      <c r="B21" t="s">
        <v>710</v>
      </c>
      <c r="C21" s="179">
        <f>ROUND('DOE25'!L209+'DOE25'!L227+'DOE25'!L245+'DOE25'!L288+'DOE25'!L307+'DOE25'!L326,0)</f>
        <v>885633</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478243.93</v>
      </c>
      <c r="D27" s="182">
        <f t="shared" si="0"/>
        <v>2.2000000000000002</v>
      </c>
    </row>
    <row r="28" spans="1:4" x14ac:dyDescent="0.2">
      <c r="B28" s="187" t="s">
        <v>719</v>
      </c>
      <c r="C28" s="180">
        <f>SUM(C10:C27)</f>
        <v>22071707.93</v>
      </c>
      <c r="D28" s="184">
        <f>ROUND(SUM(D10:D27),0)</f>
        <v>100</v>
      </c>
    </row>
    <row r="29" spans="1:4" x14ac:dyDescent="0.2">
      <c r="A29">
        <v>4000</v>
      </c>
      <c r="B29" t="s">
        <v>724</v>
      </c>
      <c r="C29" s="179">
        <f>ROUND('DOE25'!L256+'DOE25'!L337+'DOE25'!L375+'DOE25'!L376+'DOE25'!L377+'DOE25'!L378+'DOE25'!L379+'DOE25'!L380+'DOE25'!L381,0)</f>
        <v>440236</v>
      </c>
    </row>
    <row r="30" spans="1:4" x14ac:dyDescent="0.2">
      <c r="B30" s="187" t="s">
        <v>725</v>
      </c>
      <c r="C30" s="180">
        <f>SUM(C28:C29)</f>
        <v>22511943.93</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14052478</v>
      </c>
      <c r="D35" s="182">
        <f t="shared" ref="D35:D40" si="1">ROUND((C35/$C$41)*100,1)</f>
        <v>59.6</v>
      </c>
    </row>
    <row r="36" spans="1:4" x14ac:dyDescent="0.2">
      <c r="B36" s="185" t="s">
        <v>739</v>
      </c>
      <c r="C36" s="179">
        <f>SUM('DOE25'!F112:J112)-SUM('DOE25'!G97:G110)+('DOE25'!F175+'DOE25'!F176+'DOE25'!I175+'DOE25'!I176)-C35</f>
        <v>51778.820000000298</v>
      </c>
      <c r="D36" s="182">
        <f t="shared" si="1"/>
        <v>0.2</v>
      </c>
    </row>
    <row r="37" spans="1:4" x14ac:dyDescent="0.2">
      <c r="A37" s="183" t="s">
        <v>835</v>
      </c>
      <c r="B37" s="185" t="s">
        <v>728</v>
      </c>
      <c r="C37" s="179">
        <f>ROUND('DOE25'!F117+'DOE25'!F118,0)</f>
        <v>8220906</v>
      </c>
      <c r="D37" s="182">
        <f t="shared" si="1"/>
        <v>34.9</v>
      </c>
    </row>
    <row r="38" spans="1:4" x14ac:dyDescent="0.2">
      <c r="A38" s="183" t="s">
        <v>734</v>
      </c>
      <c r="B38" s="185" t="s">
        <v>729</v>
      </c>
      <c r="C38" s="179">
        <f>ROUND(SUM('DOE25'!F140:J140)-SUM('DOE25'!F117:F119),0)</f>
        <v>148552</v>
      </c>
      <c r="D38" s="182">
        <f t="shared" si="1"/>
        <v>0.6</v>
      </c>
    </row>
    <row r="39" spans="1:4" x14ac:dyDescent="0.2">
      <c r="A39">
        <v>4000</v>
      </c>
      <c r="B39" s="185" t="s">
        <v>730</v>
      </c>
      <c r="C39" s="179">
        <f>ROUND('DOE25'!F170+'DOE25'!G170+'DOE25'!H170+'DOE25'!I170,0)</f>
        <v>1108517</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23582231.82</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Litchfield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2021-10-14T12:33:53Z</cp:lastPrinted>
  <dcterms:created xsi:type="dcterms:W3CDTF">1997-12-04T19:04:30Z</dcterms:created>
  <dcterms:modified xsi:type="dcterms:W3CDTF">2021-12-14T18:29:03Z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