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53" i="1" l="1"/>
  <c r="G473" i="1" l="1"/>
  <c r="G469" i="1"/>
  <c r="H369" i="1"/>
  <c r="G369" i="1"/>
  <c r="F369" i="1"/>
  <c r="I361" i="1"/>
  <c r="I360" i="1"/>
  <c r="I359" i="1"/>
  <c r="E24" i="17" l="1"/>
  <c r="E26" i="17"/>
  <c r="E22" i="17"/>
  <c r="E30" i="17" l="1"/>
  <c r="E28" i="17"/>
  <c r="G97" i="1"/>
  <c r="E7" i="14"/>
  <c r="E6" i="14"/>
  <c r="E8" i="14"/>
  <c r="E5" i="14"/>
  <c r="D8" i="14" l="1"/>
  <c r="D7" i="14"/>
  <c r="D6" i="14"/>
  <c r="D5" i="14"/>
  <c r="D38" i="14"/>
  <c r="D25" i="14"/>
  <c r="D26" i="14"/>
  <c r="D37" i="14"/>
  <c r="E37" i="14" l="1"/>
  <c r="E25" i="14"/>
  <c r="C10" i="12" l="1"/>
  <c r="C12" i="12"/>
  <c r="C21" i="12"/>
  <c r="C19" i="12"/>
  <c r="C39" i="12"/>
  <c r="C37" i="12"/>
  <c r="B39" i="12" l="1"/>
  <c r="B21" i="12"/>
  <c r="B19" i="12"/>
  <c r="B20" i="12"/>
  <c r="B11" i="12"/>
  <c r="B10" i="12"/>
  <c r="J592" i="1" l="1"/>
  <c r="I221" i="1"/>
  <c r="H227" i="1"/>
  <c r="H592" i="1"/>
  <c r="I234" i="1"/>
  <c r="H209" i="1"/>
  <c r="I216" i="1"/>
  <c r="I592" i="1"/>
  <c r="I334" i="1"/>
  <c r="G613" i="1"/>
  <c r="G614" i="1"/>
  <c r="G612" i="1"/>
  <c r="F614" i="1"/>
  <c r="I613" i="1"/>
  <c r="I612" i="1"/>
  <c r="F612" i="1"/>
  <c r="I614" i="1"/>
  <c r="F613" i="1"/>
  <c r="J605" i="1"/>
  <c r="I605" i="1"/>
  <c r="H605" i="1"/>
  <c r="J596" i="1"/>
  <c r="J595" i="1"/>
  <c r="I595" i="1"/>
  <c r="J594" i="1"/>
  <c r="J593" i="1"/>
  <c r="I593" i="1"/>
  <c r="H593" i="1"/>
  <c r="H583" i="1"/>
  <c r="G564" i="1"/>
  <c r="G565" i="1"/>
  <c r="G563" i="1"/>
  <c r="F565" i="1"/>
  <c r="F564" i="1"/>
  <c r="F563" i="1"/>
  <c r="G569" i="1"/>
  <c r="G568" i="1"/>
  <c r="F569" i="1"/>
  <c r="F568" i="1"/>
  <c r="K569" i="1"/>
  <c r="K568" i="1"/>
  <c r="I569" i="1"/>
  <c r="I568" i="1"/>
  <c r="G533" i="1"/>
  <c r="G534" i="1"/>
  <c r="G532" i="1"/>
  <c r="G528" i="1"/>
  <c r="G529" i="1"/>
  <c r="G527" i="1"/>
  <c r="G523" i="1"/>
  <c r="G524" i="1"/>
  <c r="G522" i="1"/>
  <c r="I522" i="1"/>
  <c r="H522" i="1"/>
  <c r="H523" i="1"/>
  <c r="H524" i="1"/>
  <c r="F524" i="1"/>
  <c r="F529" i="1"/>
  <c r="I524" i="1"/>
  <c r="F523" i="1"/>
  <c r="F528" i="1"/>
  <c r="I523" i="1"/>
  <c r="F527" i="1"/>
  <c r="J522" i="1"/>
  <c r="F522" i="1"/>
  <c r="H527" i="1"/>
  <c r="K522" i="1"/>
  <c r="H539" i="1"/>
  <c r="H538" i="1"/>
  <c r="H537" i="1"/>
  <c r="H544" i="1"/>
  <c r="H543" i="1"/>
  <c r="H542" i="1"/>
  <c r="I529" i="1"/>
  <c r="I528" i="1"/>
  <c r="I527" i="1"/>
  <c r="H529" i="1"/>
  <c r="H528" i="1"/>
  <c r="I534" i="1"/>
  <c r="I533" i="1"/>
  <c r="I532" i="1"/>
  <c r="I320" i="1" l="1"/>
  <c r="H322" i="1"/>
  <c r="K361" i="1"/>
  <c r="K360" i="1"/>
  <c r="K359" i="1"/>
  <c r="J360" i="1"/>
  <c r="J361" i="1"/>
  <c r="J359" i="1"/>
  <c r="H361" i="1"/>
  <c r="H360" i="1"/>
  <c r="H359" i="1"/>
  <c r="G361" i="1"/>
  <c r="G360" i="1"/>
  <c r="G359" i="1"/>
  <c r="F361" i="1"/>
  <c r="F360" i="1"/>
  <c r="F359" i="1"/>
  <c r="J327" i="1"/>
  <c r="G334" i="1" l="1"/>
  <c r="G315" i="1"/>
  <c r="H326" i="1"/>
  <c r="J325" i="1"/>
  <c r="I325" i="1"/>
  <c r="J321" i="1"/>
  <c r="I321" i="1"/>
  <c r="I318" i="1"/>
  <c r="I315" i="1"/>
  <c r="I296" i="1"/>
  <c r="J308" i="1"/>
  <c r="H307" i="1"/>
  <c r="J306" i="1"/>
  <c r="I306" i="1"/>
  <c r="H303" i="1"/>
  <c r="J302" i="1"/>
  <c r="I302" i="1"/>
  <c r="I301" i="1"/>
  <c r="I299" i="1"/>
  <c r="I277" i="1"/>
  <c r="G277" i="1"/>
  <c r="J289" i="1"/>
  <c r="H288" i="1"/>
  <c r="J287" i="1"/>
  <c r="I287" i="1"/>
  <c r="H287" i="1"/>
  <c r="H284" i="1"/>
  <c r="J283" i="1"/>
  <c r="I283" i="1"/>
  <c r="H283" i="1"/>
  <c r="I282" i="1"/>
  <c r="H282" i="1"/>
  <c r="I280" i="1"/>
  <c r="J334" i="1" l="1"/>
  <c r="H334" i="1"/>
  <c r="H316" i="1"/>
  <c r="J315" i="1"/>
  <c r="H302" i="1"/>
  <c r="J296" i="1"/>
  <c r="J278" i="1"/>
  <c r="H278" i="1"/>
  <c r="J277" i="1"/>
  <c r="G234" i="1"/>
  <c r="G252" i="1"/>
  <c r="G246" i="1"/>
  <c r="G244" i="1"/>
  <c r="G243" i="1"/>
  <c r="G242" i="1"/>
  <c r="G241" i="1"/>
  <c r="G240" i="1"/>
  <c r="G239" i="1"/>
  <c r="G237" i="1"/>
  <c r="G235" i="1"/>
  <c r="G228" i="1"/>
  <c r="G226" i="1"/>
  <c r="G225" i="1"/>
  <c r="G224" i="1"/>
  <c r="G223" i="1"/>
  <c r="G222" i="1"/>
  <c r="G221" i="1"/>
  <c r="G219" i="1"/>
  <c r="G217" i="1"/>
  <c r="G216" i="1"/>
  <c r="G210" i="1"/>
  <c r="G208" i="1"/>
  <c r="G207" i="1"/>
  <c r="G206" i="1"/>
  <c r="G205" i="1"/>
  <c r="G204" i="1"/>
  <c r="G203" i="1"/>
  <c r="G201" i="1"/>
  <c r="G199" i="1"/>
  <c r="G198" i="1"/>
  <c r="F321" i="1" l="1"/>
  <c r="F282" i="1"/>
  <c r="F301" i="1"/>
  <c r="F315" i="1"/>
  <c r="F325" i="1"/>
  <c r="F320" i="1"/>
  <c r="F334" i="1"/>
  <c r="F318" i="1"/>
  <c r="F316" i="1"/>
  <c r="F299" i="1"/>
  <c r="F297" i="1"/>
  <c r="F280" i="1"/>
  <c r="F278" i="1"/>
  <c r="F277" i="1"/>
  <c r="H244" i="1"/>
  <c r="H245" i="1"/>
  <c r="H226" i="1"/>
  <c r="H208" i="1"/>
  <c r="K262" i="1" l="1"/>
  <c r="J246" i="1"/>
  <c r="I246" i="1"/>
  <c r="H246" i="1"/>
  <c r="K244" i="1"/>
  <c r="J244" i="1"/>
  <c r="I244" i="1"/>
  <c r="H243" i="1"/>
  <c r="H242" i="1"/>
  <c r="K241" i="1"/>
  <c r="I241" i="1"/>
  <c r="H241" i="1"/>
  <c r="I240" i="1"/>
  <c r="H240" i="1"/>
  <c r="I239" i="1"/>
  <c r="H239" i="1"/>
  <c r="I252" i="1"/>
  <c r="J237" i="1"/>
  <c r="I237" i="1"/>
  <c r="I235" i="1"/>
  <c r="H235" i="1"/>
  <c r="J234" i="1"/>
  <c r="H234" i="1"/>
  <c r="H236" i="1"/>
  <c r="I242" i="1"/>
  <c r="K242" i="1"/>
  <c r="K240" i="1"/>
  <c r="K239" i="1"/>
  <c r="K237" i="1"/>
  <c r="H237" i="1"/>
  <c r="K234" i="1"/>
  <c r="J228" i="1"/>
  <c r="I228" i="1"/>
  <c r="H228" i="1"/>
  <c r="K226" i="1"/>
  <c r="J226" i="1"/>
  <c r="I226" i="1"/>
  <c r="H225" i="1"/>
  <c r="H224" i="1"/>
  <c r="K223" i="1"/>
  <c r="I223" i="1"/>
  <c r="H223" i="1"/>
  <c r="I222" i="1"/>
  <c r="H222" i="1"/>
  <c r="H221" i="1"/>
  <c r="J219" i="1"/>
  <c r="I219" i="1"/>
  <c r="K217" i="1"/>
  <c r="I217" i="1"/>
  <c r="H217" i="1"/>
  <c r="J216" i="1"/>
  <c r="H216" i="1"/>
  <c r="J210" i="1"/>
  <c r="I210" i="1"/>
  <c r="H210" i="1"/>
  <c r="K208" i="1"/>
  <c r="J208" i="1"/>
  <c r="I208" i="1"/>
  <c r="H207" i="1"/>
  <c r="H206" i="1"/>
  <c r="K205" i="1"/>
  <c r="I205" i="1"/>
  <c r="H205" i="1"/>
  <c r="I204" i="1"/>
  <c r="H204" i="1"/>
  <c r="I203" i="1"/>
  <c r="H203" i="1"/>
  <c r="I201" i="1"/>
  <c r="K199" i="1"/>
  <c r="I199" i="1"/>
  <c r="H199" i="1"/>
  <c r="J198" i="1"/>
  <c r="I198" i="1"/>
  <c r="F252" i="1"/>
  <c r="K224" i="1"/>
  <c r="I224" i="1"/>
  <c r="K222" i="1"/>
  <c r="K219" i="1"/>
  <c r="H219" i="1"/>
  <c r="K206" i="1" l="1"/>
  <c r="I206" i="1"/>
  <c r="K204" i="1"/>
  <c r="J199" i="1"/>
  <c r="H198" i="1"/>
  <c r="F234" i="1" l="1"/>
  <c r="F246" i="1"/>
  <c r="F244" i="1"/>
  <c r="F243" i="1"/>
  <c r="F242" i="1"/>
  <c r="F241" i="1"/>
  <c r="F240" i="1"/>
  <c r="F239" i="1"/>
  <c r="F237" i="1"/>
  <c r="F235" i="1"/>
  <c r="F228" i="1"/>
  <c r="F226" i="1"/>
  <c r="F225" i="1"/>
  <c r="F223" i="1"/>
  <c r="F222" i="1"/>
  <c r="F221" i="1"/>
  <c r="F219" i="1"/>
  <c r="F217" i="1"/>
  <c r="F216" i="1"/>
  <c r="F210" i="1"/>
  <c r="F208" i="1"/>
  <c r="F207" i="1"/>
  <c r="F205" i="1"/>
  <c r="F204" i="1"/>
  <c r="F203" i="1"/>
  <c r="F201" i="1"/>
  <c r="F199" i="1"/>
  <c r="F198" i="1"/>
  <c r="F224" i="1" l="1"/>
  <c r="F206" i="1"/>
  <c r="G161"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G655" i="1"/>
  <c r="H655" i="1"/>
  <c r="H656" i="1"/>
  <c r="J656" i="1" s="1"/>
  <c r="I170" i="1"/>
  <c r="J652" i="1" l="1"/>
  <c r="G553" i="1"/>
  <c r="H477" i="1"/>
  <c r="H625" i="1" s="1"/>
  <c r="G62" i="2"/>
  <c r="D50" i="2"/>
  <c r="G477" i="1"/>
  <c r="H409" i="1"/>
  <c r="H645" i="1" s="1"/>
  <c r="J645" i="1" s="1"/>
  <c r="G409" i="1"/>
  <c r="H646" i="1" s="1"/>
  <c r="G662" i="1"/>
  <c r="G339" i="1"/>
  <c r="G353" i="1" s="1"/>
  <c r="E123" i="2"/>
  <c r="E120" i="2"/>
  <c r="K353" i="1"/>
  <c r="E119" i="2"/>
  <c r="E112" i="2"/>
  <c r="E110" i="2"/>
  <c r="E13" i="13"/>
  <c r="C13" i="13" s="1"/>
  <c r="C110" i="2"/>
  <c r="C125" i="2"/>
  <c r="C12" i="10"/>
  <c r="G651" i="1"/>
  <c r="J651" i="1" s="1"/>
  <c r="H663" i="1"/>
  <c r="D15" i="13"/>
  <c r="C15" i="13" s="1"/>
  <c r="C13" i="10"/>
  <c r="J258" i="1"/>
  <c r="J272" i="1" s="1"/>
  <c r="C119" i="2"/>
  <c r="D6" i="13"/>
  <c r="C6" i="13" s="1"/>
  <c r="C120" i="2"/>
  <c r="A40" i="12"/>
  <c r="C121" i="2"/>
  <c r="G646"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D51" i="2"/>
  <c r="C81" i="2"/>
  <c r="C141" i="2"/>
  <c r="E128" i="2"/>
  <c r="E115" i="2"/>
  <c r="G24" i="14"/>
  <c r="H24" i="14" s="1"/>
  <c r="I24" i="14" s="1"/>
  <c r="F661" i="1"/>
  <c r="F665" i="1" s="1"/>
  <c r="F668" i="1" s="1"/>
  <c r="I663" i="1"/>
  <c r="H649" i="1"/>
  <c r="J649" i="1" s="1"/>
  <c r="H661" i="1"/>
  <c r="H665" i="1" s="1"/>
  <c r="H668" i="1" s="1"/>
  <c r="H194" i="1"/>
  <c r="G630" i="1" s="1"/>
  <c r="J630" i="1" s="1"/>
  <c r="F194" i="1"/>
  <c r="G628" i="1" s="1"/>
  <c r="J628" i="1" s="1"/>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<sst xmlns="http://schemas.openxmlformats.org/spreadsheetml/2006/main" count="5597" uniqueCount="1690">
  <si>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</si>
  <si>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</si>
  <si>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</si>
  <si>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</si>
  <si>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</si>
  <si>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</si>
  <si>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</si>
  <si>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</si>
  <si>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</si>
  <si>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</si>
  <si>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</si>
  <si>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</si>
  <si>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</si>
  <si>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</si>
  <si>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</si>
  <si>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</si>
  <si>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</si>
  <si>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</si>
  <si>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</si>
  <si>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</si>
  <si>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</si>
  <si>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</si>
  <si>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</si>
  <si>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</si>
  <si>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</si>
  <si>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</si>
  <si>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</si>
  <si>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</si>
  <si>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</si>
  <si>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</si>
  <si>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</si>
  <si>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</si>
  <si>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</si>
  <si>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</si>
  <si>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</si>
  <si>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</si>
  <si>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</si>
  <si>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</si>
  <si>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</si>
  <si>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</si>
  <si>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</si>
  <si>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</si>
  <si>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</si>
  <si>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</si>
  <si>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</si>
  <si>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</si>
  <si>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</si>
  <si>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</si>
  <si>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</si>
  <si>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</si>
  <si>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</si>
  <si>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</si>
  <si>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</si>
  <si>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</si>
  <si>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</si>
  <si>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</si>
  <si>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</si>
  <si>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</si>
  <si>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</si>
  <si>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</si>
  <si>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</si>
  <si>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</si>
  <si>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</si>
  <si>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</si>
  <si>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</si>
  <si>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</si>
  <si>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</si>
  <si>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</si>
  <si>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</si>
  <si>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</si>
  <si>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</si>
  <si>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</si>
  <si>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</si>
  <si>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</si>
  <si>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</si>
  <si>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</si>
  <si>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</si>
  <si>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</si>
  <si>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</si>
  <si>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</si>
  <si>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</si>
  <si>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</si>
  <si>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</si>
  <si>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</si>
  <si>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</si>
  <si>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</si>
  <si>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</si>
  <si>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</si>
  <si>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</si>
  <si>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</si>
  <si>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</si>
  <si>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</si>
  <si>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</si>
  <si>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</si>
  <si>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</si>
  <si>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</si>
  <si>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</si>
  <si>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</si>
  <si>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</si>
  <si>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</si>
  <si>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</si>
  <si>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</si>
  <si>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</si>
  <si>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</si>
  <si>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</si>
  <si>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</si>
  <si>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</si>
  <si>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</si>
  <si>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</si>
  <si>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</si>
  <si>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</si>
  <si>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</si>
  <si>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</si>
  <si>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</si>
  <si>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</si>
  <si>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</si>
  <si>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</si>
  <si>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</si>
  <si>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</si>
  <si>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</si>
  <si>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</si>
  <si>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</si>
  <si>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</si>
  <si>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</si>
  <si>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</si>
  <si>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</si>
  <si>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</si>
  <si>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</si>
  <si>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</si>
  <si>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</si>
  <si>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</si>
  <si>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</si>
  <si>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</si>
  <si>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</si>
  <si>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</si>
  <si>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</si>
  <si>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</si>
  <si>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</si>
  <si>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</si>
  <si>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</si>
  <si>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</si>
  <si>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</si>
  <si>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</si>
  <si>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</si>
  <si>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</si>
  <si>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</si>
  <si>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</si>
  <si>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</si>
  <si>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</si>
  <si>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</si>
  <si>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</si>
  <si>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</si>
  <si>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</si>
  <si>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</si>
  <si>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</si>
  <si>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</si>
  <si>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</si>
  <si>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</si>
  <si>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</si>
  <si>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</si>
  <si>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</si>
  <si>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</si>
  <si>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</si>
  <si>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</si>
  <si>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</si>
  <si>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</si>
  <si>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</si>
  <si>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</si>
  <si>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</si>
  <si>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</si>
  <si>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</si>
  <si>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</si>
  <si>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</si>
  <si>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</si>
  <si>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</si>
  <si>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</si>
  <si>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</si>
  <si>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</si>
  <si>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</si>
  <si>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</si>
  <si>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</si>
  <si>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</si>
  <si>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</si>
  <si>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</si>
  <si>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</si>
  <si>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</si>
  <si>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</si>
  <si>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</si>
  <si>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</si>
  <si>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</si>
  <si>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</si>
  <si>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</si>
  <si>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</si>
  <si>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</si>
  <si>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</si>
  <si>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</si>
  <si>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</si>
  <si>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</si>
  <si>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</si>
  <si>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</si>
  <si>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</si>
  <si>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</si>
  <si>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</si>
  <si>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</si>
  <si>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</si>
  <si>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</si>
  <si>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</si>
  <si>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</si>
  <si>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</si>
  <si>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</si>
  <si>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</si>
  <si>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</si>
  <si>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</si>
  <si>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</si>
  <si>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</si>
  <si>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</si>
  <si>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</si>
  <si>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</si>
  <si>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</si>
  <si>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</si>
  <si>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</si>
  <si>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</si>
  <si>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</si>
  <si>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</si>
  <si>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</si>
  <si>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</si>
  <si>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</si>
  <si>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</si>
  <si>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</si>
  <si>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</si>
  <si>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</si>
  <si>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</si>
  <si>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</si>
  <si>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</si>
  <si>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</si>
  <si>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</si>
  <si>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</si>
  <si>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</si>
  <si>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</si>
  <si>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</si>
  <si>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</si>
  <si>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</si>
  <si>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</si>
  <si>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</si>
  <si>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</si>
  <si>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</si>
  <si>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</si>
  <si>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</si>
  <si>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</si>
  <si>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</si>
  <si>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</si>
  <si>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</si>
  <si>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</si>
  <si>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</si>
  <si>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</si>
  <si>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</si>
  <si>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</si>
  <si>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</si>
  <si>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</si>
  <si>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</si>
  <si>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</si>
  <si>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</si>
  <si>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</si>
  <si>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</si>
  <si>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</si>
  <si>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</si>
  <si>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</si>
  <si>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</si>
  <si>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</si>
  <si>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</si>
  <si>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</si>
  <si>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</si>
  <si>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</si>
  <si>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</si>
  <si>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</si>
  <si>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</si>
  <si>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</si>
  <si>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</si>
  <si>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</si>
  <si>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</si>
  <si>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</si>
  <si>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</si>
  <si>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</si>
  <si>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</si>
  <si>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</si>
  <si>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</si>
  <si>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</si>
  <si>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</si>
  <si>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</si>
  <si>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</si>
  <si>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</si>
  <si>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</si>
  <si>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</si>
  <si>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</si>
  <si>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</si>
  <si>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</si>
  <si>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</si>
  <si>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</si>
  <si>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</si>
  <si>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</si>
  <si>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</si>
  <si>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</si>
  <si>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</si>
  <si>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</si>
  <si>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</si>
  <si>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</si>
  <si>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</si>
  <si>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</si>
  <si>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</si>
  <si>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</si>
  <si>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</si>
  <si>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</si>
  <si>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</si>
  <si>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</si>
  <si>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</si>
  <si>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</si>
  <si>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</si>
  <si>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</si>
  <si>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</si>
  <si>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</si>
  <si>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</si>
  <si>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</si>
  <si>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</si>
  <si>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</si>
  <si>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</si>
  <si>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</si>
  <si>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</si>
  <si>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</si>
  <si>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</si>
  <si>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</si>
  <si>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</si>
  <si>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</si>
  <si>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</si>
  <si>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</si>
  <si>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</si>
  <si>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</si>
  <si>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</si>
  <si>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</si>
  <si>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</si>
  <si>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</si>
  <si>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</si>
  <si>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</si>
  <si>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</si>
  <si>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</si>
  <si>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</si>
  <si>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</si>
  <si>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</si>
  <si>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</si>
  <si>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</si>
  <si>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</si>
  <si>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</si>
  <si>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</si>
  <si>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</si>
  <si>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</si>
  <si>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</si>
  <si>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</si>
  <si>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</si>
  <si>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</si>
  <si>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</si>
  <si>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</si>
  <si>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</si>
  <si>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</si>
  <si>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</si>
  <si>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</si>
  <si>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</si>
  <si>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</si>
  <si>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</si>
  <si>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</si>
  <si>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</si>
  <si>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</si>
  <si>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</si>
  <si>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</si>
  <si>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</si>
  <si>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</si>
  <si>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</si>
  <si>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</si>
  <si>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</si>
  <si>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</si>
  <si>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</si>
  <si>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</si>
  <si>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</si>
  <si>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</si>
  <si>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</si>
  <si>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</si>
  <si>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</si>
  <si>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</si>
  <si>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</si>
  <si>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</si>
  <si>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</si>
  <si>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</si>
  <si>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</si>
  <si>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</si>
  <si>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</si>
  <si>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</si>
  <si>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</si>
  <si>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</si>
  <si>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</si>
  <si>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</si>
  <si>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</si>
  <si>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</si>
  <si>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</si>
  <si>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</si>
  <si>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</si>
  <si>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</si>
  <si>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</si>
  <si>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</si>
  <si>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</si>
  <si>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</si>
  <si>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</si>
  <si>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</si>
  <si>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</si>
  <si>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</si>
  <si>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</si>
  <si>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</si>
  <si>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</si>
  <si>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</si>
  <si>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</si>
  <si>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</si>
  <si>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</si>
  <si>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</si>
  <si>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</si>
  <si>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</si>
  <si>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</si>
  <si>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</si>
  <si>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</si>
  <si>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</si>
  <si>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</si>
  <si>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</si>
  <si>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</si>
  <si>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</si>
  <si>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</si>
  <si>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</si>
  <si>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</si>
  <si>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</si>
  <si>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</si>
  <si>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</si>
  <si>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</si>
  <si>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</si>
  <si>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</si>
  <si>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</si>
  <si>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</si>
  <si>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</si>
  <si>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</si>
  <si>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</si>
  <si>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</si>
  <si>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</si>
  <si>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</si>
  <si>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</si>
  <si>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</si>
  <si>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</si>
  <si>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</si>
  <si>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</si>
  <si>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</si>
  <si>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</si>
  <si>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</si>
  <si>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</si>
  <si>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</si>
  <si>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</si>
  <si>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</si>
  <si>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</si>
  <si>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</si>
  <si>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</si>
  <si>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</si>
  <si>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</si>
  <si>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</si>
  <si>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</si>
  <si>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</si>
  <si>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</si>
  <si>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</si>
  <si>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</si>
  <si>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</si>
  <si>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</si>
  <si>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</si>
  <si>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</si>
  <si>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</si>
  <si>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</si>
  <si>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</si>
  <si>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</si>
  <si>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</si>
  <si>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</si>
  <si>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</si>
  <si>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</si>
  <si>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</si>
  <si>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</si>
  <si>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</si>
  <si>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</si>
  <si>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</si>
  <si>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</si>
  <si>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</si>
  <si>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</si>
  <si>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</si>
  <si>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</si>
  <si>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</si>
  <si>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</si>
  <si>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</si>
  <si>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</si>
  <si>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</si>
  <si>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</si>
  <si>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</si>
  <si>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</si>
  <si>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</si>
  <si>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</si>
  <si>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</si>
  <si>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</si>
  <si>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</si>
  <si>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</si>
  <si>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</si>
  <si>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</si>
  <si>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</si>
  <si>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</si>
  <si>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</si>
  <si>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</si>
  <si>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</si>
  <si>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</si>
  <si>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</si>
  <si>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</si>
  <si>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</si>
  <si>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</si>
  <si>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</si>
  <si>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</si>
  <si>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</si>
  <si>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</si>
  <si>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</si>
  <si>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</si>
  <si>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</si>
  <si>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</si>
  <si>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</si>
  <si>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</si>
  <si>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</si>
  <si>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</si>
  <si>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</si>
  <si>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</si>
  <si>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</si>
  <si>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</si>
  <si>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</si>
  <si>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</si>
  <si>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</si>
  <si>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</si>
  <si>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</si>
  <si>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</si>
  <si>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</si>
  <si>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</si>
  <si>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</si>
  <si>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</si>
  <si>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</si>
  <si>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</si>
  <si>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</si>
  <si>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</si>
  <si>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</si>
  <si>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</si>
  <si>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</si>
  <si>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</si>
  <si>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</si>
  <si>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</si>
  <si>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</si>
  <si>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</si>
  <si>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</si>
  <si>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</si>
  <si>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</si>
  <si>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</si>
  <si>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</si>
  <si>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</si>
  <si>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</si>
  <si>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</si>
  <si>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</si>
  <si>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</si>
  <si>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</si>
  <si>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</si>
  <si>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</si>
  <si>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</si>
  <si>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</si>
  <si>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</si>
  <si>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</si>
  <si>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</si>
  <si>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</si>
  <si>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</si>
  <si>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</si>
  <si>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</si>
  <si>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</si>
  <si>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</si>
  <si>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</si>
  <si>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</si>
  <si>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</si>
  <si>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</si>
  <si>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</si>
  <si>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</si>
  <si>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</si>
  <si>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</si>
  <si>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</si>
  <si>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</si>
  <si>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</si>
  <si>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</si>
  <si>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</si>
  <si>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</si>
  <si>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</si>
  <si>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</si>
  <si>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</si>
  <si>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</si>
  <si>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</si>
  <si>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</si>
  <si>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</si>
  <si>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</si>
  <si>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</si>
  <si>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</si>
  <si>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</si>
  <si>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</si>
  <si>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</si>
  <si>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</si>
  <si>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</si>
  <si>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</si>
  <si>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</si>
  <si>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</si>
  <si>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</si>
  <si>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</si>
  <si>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</si>
  <si>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</si>
  <si>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</si>
  <si>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</si>
  <si>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</si>
  <si>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</si>
  <si>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</si>
  <si>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</si>
  <si>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</si>
  <si>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</si>
  <si>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</si>
  <si>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</si>
  <si>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</si>
  <si>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</si>
  <si>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</si>
  <si>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</si>
  <si>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</si>
  <si>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</si>
  <si>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</si>
  <si>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</si>
  <si>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</si>
  <si>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</si>
  <si>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</si>
  <si>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</si>
  <si>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</si>
  <si>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</si>
  <si>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</si>
  <si>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</si>
  <si>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</si>
  <si>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</si>
  <si>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</si>
  <si>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</si>
  <si>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</si>
  <si>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</si>
  <si>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</si>
  <si>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</si>
  <si>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</si>
  <si>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</si>
  <si>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</si>
  <si>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</si>
  <si>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</si>
  <si>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</si>
  <si>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</si>
  <si>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</si>
  <si>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</si>
  <si>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</si>
  <si>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</si>
  <si>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</si>
  <si>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</si>
  <si>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</si>
  <si>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</si>
  <si>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</si>
  <si>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</si>
  <si>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</si>
  <si>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</si>
  <si>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</si>
  <si>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</si>
  <si>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</si>
  <si>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</si>
  <si>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</si>
  <si>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</si>
  <si>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</si>
  <si>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</si>
  <si>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</si>
  <si>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</si>
  <si>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</si>
  <si>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</si>
  <si>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</si>
  <si>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</si>
  <si>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</si>
  <si>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</si>
  <si>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</si>
  <si>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</si>
  <si>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</si>
  <si>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</si>
  <si>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</si>
  <si>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</si>
  <si>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</si>
  <si>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</si>
  <si>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</si>
  <si>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</si>
  <si>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</si>
  <si>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</si>
  <si>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</si>
  <si>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</si>
  <si>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</si>
  <si>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</si>
  <si>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</si>
  <si>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</si>
  <si>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</si>
  <si>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</si>
  <si>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</si>
  <si>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</si>
  <si>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</si>
  <si>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</si>
  <si>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</si>
  <si>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</si>
  <si>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</si>
  <si>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</si>
  <si>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</si>
  <si>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</si>
  <si>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</si>
  <si>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</si>
  <si>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</si>
  <si>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</si>
  <si>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</si>
  <si>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</si>
  <si>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</si>
  <si>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</si>
  <si>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</si>
  <si>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</si>
  <si>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</si>
  <si>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</si>
  <si>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</si>
  <si>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</si>
  <si>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</si>
  <si>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</si>
  <si>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</si>
  <si>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</si>
  <si>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</si>
  <si>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</si>
  <si>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</si>
  <si>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</si>
  <si>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</si>
  <si>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</si>
  <si>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</si>
  <si>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</si>
  <si>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</si>
  <si>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</si>
  <si>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</si>
  <si>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</si>
  <si>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</si>
  <si>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</si>
  <si>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</si>
  <si>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</si>
  <si>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</si>
  <si>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</si>
  <si>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</si>
  <si>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</si>
  <si>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</si>
  <si>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</si>
  <si>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</si>
  <si>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</si>
  <si>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</si>
  <si>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</si>
  <si>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</si>
  <si>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</si>
  <si>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</si>
  <si>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</si>
  <si>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</si>
  <si>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</si>
  <si>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</si>
  <si>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</si>
  <si>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</si>
  <si>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</si>
  <si>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</si>
  <si>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</si>
  <si>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</si>
  <si>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</si>
  <si>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</si>
  <si>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</si>
  <si>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</si>
  <si>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</si>
  <si>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</si>
  <si>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</si>
  <si>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</si>
  <si>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</si>
  <si>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</si>
  <si>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</si>
  <si>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</si>
  <si>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</si>
  <si>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</si>
  <si>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</si>
  <si>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</si>
  <si>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</si>
  <si>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</si>
  <si>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</si>
  <si>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</si>
  <si>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</si>
  <si>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</si>
  <si>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</si>
  <si>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</si>
  <si>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</si>
  <si>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</si>
  <si>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</si>
  <si>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</si>
  <si>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</si>
  <si>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</si>
  <si>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</si>
  <si>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</si>
  <si>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</si>
  <si>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</si>
  <si>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</si>
  <si>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</si>
  <si>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</si>
  <si>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</si>
  <si>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</si>
  <si>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</si>
  <si>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</si>
  <si>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</si>
  <si>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</si>
  <si>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</si>
  <si>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</si>
  <si>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</si>
  <si>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</si>
  <si>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</si>
  <si>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</si>
  <si>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</si>
  <si>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</si>
  <si>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</si>
  <si>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</si>
  <si>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</si>
  <si>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</si>
  <si>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</si>
  <si>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</si>
  <si>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</si>
  <si>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</si>
  <si>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</si>
  <si>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</si>
  <si>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</si>
  <si>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</si>
  <si>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</si>
  <si>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</si>
  <si>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</si>
  <si>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</si>
  <si>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</si>
  <si>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</si>
  <si>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</si>
  <si>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</si>
  <si>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</si>
  <si>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</si>
  <si>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</si>
  <si>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</si>
  <si>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</si>
  <si>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</si>
  <si>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</si>
  <si>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</si>
  <si>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</si>
  <si>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</si>
  <si>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</si>
  <si>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</si>
  <si>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</si>
  <si>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</si>
  <si>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</si>
  <si>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</si>
  <si>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</si>
  <si>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</si>
  <si>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</si>
  <si>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</si>
  <si>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</si>
  <si>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</si>
  <si>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</si>
  <si>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</si>
  <si>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</si>
  <si>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</si>
  <si>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</si>
  <si>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</si>
  <si>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</si>
  <si>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</si>
  <si>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</si>
  <si>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</si>
  <si>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</si>
  <si>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</si>
  <si>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</si>
  <si>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</si>
  <si>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</si>
  <si>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</si>
  <si>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</si>
  <si>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</si>
  <si>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</si>
  <si>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</si>
  <si>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</si>
  <si>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</si>
  <si>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</si>
  <si>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</si>
  <si>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</si>
  <si>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</si>
  <si>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</si>
  <si>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</si>
  <si>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</si>
  <si>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</si>
  <si>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</si>
  <si>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</si>
  <si>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</si>
  <si>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</si>
  <si>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</si>
  <si>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</si>
  <si>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</si>
  <si>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</si>
  <si>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</si>
  <si>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</si>
  <si>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</si>
  <si>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</si>
  <si>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</si>
  <si>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</si>
  <si>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</si>
  <si>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</si>
  <si>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</si>
  <si>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</si>
  <si>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</si>
  <si>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</si>
  <si>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</si>
  <si>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</si>
  <si>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</si>
  <si>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</si>
  <si>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</si>
  <si>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</si>
  <si>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</si>
  <si>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</si>
  <si>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</si>
  <si>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</si>
  <si>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</si>
  <si>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</si>
  <si>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</si>
  <si>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</si>
  <si>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</si>
  <si>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</si>
  <si>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</si>
  <si>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</si>
  <si>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</si>
  <si>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</si>
  <si>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</si>
  <si>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</si>
  <si>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</si>
  <si>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</si>
  <si>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</si>
  <si>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</si>
  <si>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</si>
  <si>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</si>
  <si>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</si>
  <si>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</si>
  <si>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</si>
  <si>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</si>
  <si>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</si>
  <si>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</si>
  <si>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</si>
  <si>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</si>
  <si>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</si>
  <si>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</si>
  <si>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</si>
  <si>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</si>
  <si>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</si>
  <si>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</si>
  <si>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</si>
  <si>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</si>
  <si>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</si>
  <si>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</si>
  <si>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</si>
  <si>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</si>
  <si>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</si>
  <si>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</si>
  <si>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</si>
  <si>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</si>
  <si>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</si>
  <si>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</si>
  <si>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</si>
  <si>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</si>
  <si>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</si>
  <si>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</si>
  <si>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</si>
  <si>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</si>
  <si>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</si>
  <si>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</si>
  <si>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</si>
  <si>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</si>
  <si>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</si>
  <si>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</si>
  <si>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</si>
  <si>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</si>
  <si>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</si>
  <si>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</si>
  <si>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</si>
  <si>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</si>
  <si>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</si>
  <si>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</si>
  <si>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</si>
  <si>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</si>
  <si>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</si>
  <si>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</si>
  <si>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</si>
  <si>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</si>
  <si>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</si>
  <si>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</si>
  <si>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</si>
  <si>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</si>
  <si>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</si>
  <si>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</si>
  <si>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</si>
  <si>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</si>
  <si>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</si>
  <si>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</si>
  <si>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</si>
  <si>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</si>
  <si>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</si>
  <si>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</si>
  <si>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</si>
  <si>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</si>
  <si>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</si>
  <si>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</si>
  <si>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</si>
  <si>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</si>
  <si>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</si>
  <si>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</si>
  <si>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</si>
  <si>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</si>
  <si>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</si>
  <si>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</si>
  <si>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</si>
  <si>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</si>
  <si>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</si>
  <si>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</si>
  <si>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</si>
  <si>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</si>
  <si>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</si>
  <si>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</si>
  <si>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</si>
  <si>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</si>
  <si>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</si>
  <si>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</si>
  <si>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</si>
  <si>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</si>
  <si>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</si>
  <si>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</si>
  <si>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</si>
  <si>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</si>
  <si>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</si>
  <si>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</si>
  <si>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</si>
  <si>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</si>
  <si>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</si>
  <si>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</si>
  <si>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</si>
  <si>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</si>
  <si>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</si>
  <si>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</si>
  <si>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</si>
  <si>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</si>
  <si>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</si>
  <si>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</si>
  <si>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</si>
  <si>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</si>
  <si>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</si>
  <si>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</si>
  <si>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</si>
  <si>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</si>
  <si>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</si>
  <si>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</si>
  <si>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</si>
  <si>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</si>
  <si>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</si>
  <si>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</si>
  <si>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</si>
  <si>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</si>
  <si>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</si>
  <si>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</si>
  <si>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</si>
  <si>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</si>
  <si>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</si>
  <si>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</si>
  <si>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</si>
  <si>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</si>
  <si>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</si>
  <si>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</si>
  <si>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</si>
  <si>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</si>
  <si>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</si>
  <si>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</si>
  <si>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</si>
  <si>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</si>
  <si>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</si>
  <si>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</si>
  <si>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</si>
  <si>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</si>
  <si>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</si>
  <si>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</si>
  <si>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</si>
  <si>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</si>
  <si>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</si>
  <si>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</si>
  <si>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</si>
  <si>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</si>
  <si>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</si>
  <si>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</si>
  <si>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</si>
  <si>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</si>
  <si>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</si>
  <si>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</si>
  <si>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</si>
  <si>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</si>
  <si>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</si>
  <si>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</si>
  <si>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</si>
  <si>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</si>
  <si>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</si>
  <si>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</si>
  <si>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</si>
  <si>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</si>
  <si>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</si>
  <si>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</si>
  <si>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</si>
  <si>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</si>
  <si>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</si>
  <si>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</si>
  <si>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</si>
  <si>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</si>
  <si>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</si>
  <si>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</si>
  <si>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</si>
  <si>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</si>
  <si>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</si>
  <si>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</si>
  <si>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</si>
  <si>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</si>
  <si>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</si>
  <si>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</si>
  <si>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</si>
  <si>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</si>
  <si>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</si>
  <si>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</si>
  <si>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</si>
  <si>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</si>
  <si>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</si>
  <si>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</si>
  <si>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</si>
  <si>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</si>
  <si>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</si>
  <si>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</si>
  <si>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</si>
  <si>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</si>
  <si>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</si>
  <si>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</si>
  <si>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</si>
  <si>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</si>
  <si>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</si>
  <si>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</si>
  <si>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</si>
  <si>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</si>
  <si>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</si>
  <si>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</si>
  <si>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</si>
  <si>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</si>
  <si>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</si>
  <si>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</si>
  <si>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</si>
  <si>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</si>
  <si>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</si>
  <si>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</si>
  <si>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</si>
  <si>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</si>
  <si>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</si>
  <si>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</si>
  <si>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</si>
  <si>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</si>
  <si>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</si>
  <si>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</si>
  <si>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</si>
  <si>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</si>
  <si>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</si>
  <si>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</si>
  <si>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</si>
  <si>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</si>
  <si>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</si>
  <si>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</si>
  <si>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</si>
  <si>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</si>
  <si>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</si>
  <si>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</si>
  <si>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</si>
  <si>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</si>
  <si>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</si>
  <si>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</si>
  <si>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</si>
  <si>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</si>
  <si>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</si>
  <si>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</si>
  <si>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</si>
  <si>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</si>
  <si>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</si>
  <si>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</si>
  <si>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</si>
  <si>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</si>
  <si>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</si>
  <si>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</si>
  <si>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</si>
  <si>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</si>
  <si>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</si>
  <si>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</si>
  <si>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</si>
  <si>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</si>
  <si>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</si>
  <si>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</si>
  <si>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</si>
  <si>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</si>
  <si>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</si>
  <si>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</si>
  <si>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</si>
  <si>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</si>
  <si>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</si>
  <si>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</si>
  <si>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</si>
  <si>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</si>
  <si>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</si>
  <si>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</si>
  <si>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</si>
  <si>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</si>
  <si>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</si>
  <si>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</si>
  <si>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</si>
  <si>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</si>
  <si>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</si>
  <si>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</si>
  <si>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</si>
  <si>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</si>
  <si>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</si>
  <si>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</si>
  <si>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</si>
  <si>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</si>
  <si>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</si>
  <si>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</si>
  <si>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</si>
  <si>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</si>
  <si>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</si>
  <si>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</si>
  <si>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</si>
  <si>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</si>
  <si>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</si>
  <si>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</si>
  <si>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</si>
  <si>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</si>
  <si>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</si>
  <si>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</si>
  <si>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</si>
  <si>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</si>
  <si>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</si>
  <si>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</si>
  <si>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</si>
  <si>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</si>
  <si>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</si>
  <si>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</si>
  <si>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</si>
  <si>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</si>
  <si>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</si>
  <si>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</si>
  <si>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</si>
  <si>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</si>
  <si>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</si>
  <si>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</si>
  <si>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</si>
  <si>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</si>
  <si>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</si>
  <si>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</si>
  <si>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</si>
  <si>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</si>
  <si>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</si>
  <si>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</si>
  <si>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</si>
  <si>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</si>
  <si>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</si>
  <si>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</si>
  <si>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</si>
  <si>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</si>
  <si>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</si>
  <si>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</si>
  <si>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</si>
  <si>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</si>
  <si>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</si>
  <si>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</si>
  <si>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</si>
  <si>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</si>
  <si>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</si>
  <si>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</si>
  <si>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</si>
  <si>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</si>
  <si>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</si>
  <si>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</si>
  <si>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</si>
  <si>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</si>
  <si>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</si>
  <si>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</si>
  <si>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</si>
  <si>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</si>
  <si>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</si>
  <si>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</si>
  <si>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</si>
  <si>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</si>
  <si>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</si>
  <si>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</si>
  <si>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</si>
  <si>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</si>
  <si>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</si>
  <si>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</si>
  <si>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</si>
  <si>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</si>
  <si>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</si>
  <si>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</si>
  <si>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</si>
  <si>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</si>
  <si>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</si>
  <si>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</si>
  <si>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</si>
  <si>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</si>
  <si>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</si>
  <si>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</si>
  <si>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</si>
  <si>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</si>
  <si>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</si>
  <si>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</si>
  <si>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</si>
  <si>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</si>
  <si>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</si>
  <si>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</si>
  <si>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</si>
  <si>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</si>
  <si>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</si>
  <si>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</si>
  <si>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</si>
  <si>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</si>
  <si>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</si>
  <si>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</si>
  <si>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</si>
  <si>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</si>
  <si>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</si>
  <si>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</si>
  <si>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</si>
  <si>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</si>
  <si>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</si>
  <si>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</si>
  <si>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</si>
  <si>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</si>
  <si>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</si>
  <si>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</si>
  <si>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</si>
  <si>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</si>
  <si>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</si>
  <si>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</si>
  <si>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</si>
  <si>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</si>
  <si>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</si>
  <si>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</si>
  <si>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</si>
  <si>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</si>
  <si>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</si>
  <si>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</si>
  <si>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</si>
  <si>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</si>
  <si>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</si>
  <si>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</si>
  <si>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</si>
  <si>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</si>
  <si>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</si>
  <si>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</si>
  <si>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</si>
  <si>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</si>
  <si>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</si>
  <si>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</si>
  <si>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</si>
  <si>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</si>
  <si>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</si>
  <si>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</si>
  <si>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</si>
  <si>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</si>
  <si>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</si>
  <si>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</si>
  <si>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</si>
  <si>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</si>
  <si>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</si>
  <si>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</si>
  <si>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</si>
  <si>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</si>
  <si>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</si>
  <si>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</si>
  <si>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</si>
  <si>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</si>
  <si>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</si>
  <si>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</si>
  <si>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</si>
  <si>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</si>
  <si>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</si>
  <si>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</si>
  <si>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</si>
  <si>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</si>
  <si>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</si>
  <si>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</si>
  <si>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</si>
  <si>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</si>
  <si>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</si>
  <si>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</si>
  <si>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</si>
  <si>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</si>
  <si>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</si>
  <si>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</si>
  <si>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</si>
  <si>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</si>
  <si>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</si>
  <si>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</si>
  <si>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</si>
  <si>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</si>
  <si>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</si>
  <si>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</si>
  <si>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</si>
  <si>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</si>
  <si>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</si>
  <si>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</si>
  <si>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</si>
  <si>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</si>
  <si>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</si>
  <si>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</si>
  <si>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</si>
  <si>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</si>
  <si>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</si>
  <si>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</si>
  <si>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</si>
  <si>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</si>
  <si>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</si>
  <si>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</si>
  <si>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</si>
  <si>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</si>
  <si>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</si>
  <si>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</si>
  <si>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</si>
  <si>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</si>
  <si>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</si>
  <si>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</si>
  <si>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</si>
  <si>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</si>
  <si>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</si>
  <si>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</si>
  <si>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</si>
  <si>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</si>
  <si>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</si>
  <si>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</si>
  <si>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</si>
  <si>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</si>
  <si>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</si>
  <si>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</si>
  <si>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</si>
  <si>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</si>
  <si>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</si>
  <si>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</si>
  <si>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</si>
  <si>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</si>
  <si>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</si>
  <si>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</si>
  <si>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</si>
  <si>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</si>
  <si>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</si>
  <si>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</si>
  <si>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</si>
  <si>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</si>
  <si>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</si>
  <si>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</si>
  <si>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</si>
  <si>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</si>
  <si>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</si>
  <si>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</si>
  <si>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</si>
  <si>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</si>
  <si>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</si>
  <si>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</si>
  <si>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</si>
  <si>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</si>
  <si>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</si>
  <si>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</si>
  <si>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</si>
  <si>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</si>
  <si>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</si>
  <si>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</si>
  <si>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</si>
  <si>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</si>
  <si>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</si>
  <si>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</si>
  <si>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</si>
  <si>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</si>
  <si>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</si>
  <si>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</si>
  <si>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</si>
  <si>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</si>
  <si>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</si>
  <si>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</si>
  <si>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</si>
  <si>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</si>
  <si>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</si>
  <si>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</si>
  <si>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</si>
  <si>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</si>
  <si>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</si>
  <si>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</si>
  <si>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</si>
  <si>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</si>
  <si>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</si>
  <si>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</si>
  <si>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</si>
  <si>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</si>
  <si>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</si>
  <si>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</si>
  <si>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</si>
  <si>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</si>
  <si>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</si>
  <si>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</si>
  <si>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</si>
  <si>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</si>
  <si>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</si>
  <si>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</si>
  <si>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</si>
  <si>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</si>
  <si>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</si>
  <si>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</si>
  <si>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</si>
  <si>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</si>
  <si>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</si>
  <si>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</si>
  <si>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</si>
  <si>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</si>
  <si>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</si>
  <si>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</si>
  <si>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</si>
  <si>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</si>
  <si>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</si>
  <si>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</si>
  <si>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</si>
  <si>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</si>
  <si>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</si>
  <si>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</si>
  <si>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</si>
  <si>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</si>
  <si>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</si>
  <si>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</si>
  <si>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</si>
  <si>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</si>
  <si>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</si>
  <si>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</si>
  <si>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</si>
  <si>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</si>
  <si>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</si>
  <si>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</si>
  <si>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</si>
  <si>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</si>
  <si>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</si>
  <si>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</si>
  <si>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</si>
  <si>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</si>
  <si>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</si>
  <si>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</si>
  <si>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</si>
  <si>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</si>
  <si>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</si>
  <si>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</si>
  <si>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</si>
  <si>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</si>
  <si>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</si>
  <si>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</si>
  <si>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</si>
  <si>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</si>
  <si>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</si>
  <si>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</si>
  <si>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</si>
  <si>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</si>
  <si>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</si>
  <si>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</si>
  <si>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</si>
  <si>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</si>
  <si>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</si>
  <si>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</si>
  <si>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</si>
  <si>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</si>
  <si>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</si>
  <si>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</si>
  <si>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</si>
  <si>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</si>
  <si>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</si>
  <si>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</si>
  <si>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</si>
  <si>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</si>
  <si>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</si>
  <si>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</si>
  <si>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</si>
  <si>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</si>
  <si>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</si>
  <si>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</si>
  <si>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</si>
  <si>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</si>
  <si>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</si>
  <si>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</si>
  <si>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</si>
  <si>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</si>
  <si>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</si>
  <si>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</si>
  <si>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</si>
  <si>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</si>
  <si>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</si>
  <si>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</si>
  <si>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</si>
  <si>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</si>
  <si>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</si>
  <si>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</si>
  <si>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</si>
  <si>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</si>
  <si>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</si>
  <si>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</si>
  <si>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</si>
  <si>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</si>
  <si>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</si>
  <si>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</si>
  <si>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</si>
  <si>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</si>
  <si>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</si>
  <si>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</si>
  <si>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</si>
  <si>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</si>
  <si>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</si>
  <si>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</si>
  <si>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</si>
  <si>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</si>
  <si>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</si>
  <si>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</si>
  <si>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</si>
  <si>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</si>
  <si>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</si>
  <si>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</si>
  <si>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</si>
  <si>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</si>
  <si>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</si>
  <si>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</si>
  <si>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</si>
  <si>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</si>
  <si>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</si>
  <si>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</si>
  <si>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</si>
  <si>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</si>
  <si>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</si>
  <si>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</si>
  <si>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</si>
  <si>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</si>
  <si>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</si>
  <si>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</si>
  <si>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</si>
  <si>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</si>
  <si>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</si>
  <si>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</si>
  <si>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</si>
  <si>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</si>
  <si>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</si>
  <si>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</si>
  <si>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</si>
  <si>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</si>
  <si>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</si>
  <si>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</si>
  <si>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</si>
  <si>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</si>
  <si>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</si>
  <si>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</si>
  <si>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</si>
  <si>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</si>
  <si>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</si>
  <si>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</si>
  <si>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</si>
  <si>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</si>
  <si>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</si>
  <si>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Food Service = $29,041 (SPSRF Grant) + $34,205.70-Commodities = $63,246.70</t>
  </si>
  <si>
    <t>Federal Funds = $942,957.51-SPSRF Grant</t>
  </si>
  <si>
    <t>Previously restated from equity to liability-FY16 - FY21 restates it back to equity</t>
  </si>
  <si>
    <t>04/02</t>
  </si>
  <si>
    <t>07/22</t>
  </si>
  <si>
    <t>05/2017</t>
  </si>
  <si>
    <t>07/2028</t>
  </si>
  <si>
    <t>05/14</t>
  </si>
  <si>
    <t>08/25</t>
  </si>
  <si>
    <t>07/14</t>
  </si>
  <si>
    <t>07/24</t>
  </si>
  <si>
    <t>LONDONDERRY SCHOOL DISTRICT</t>
  </si>
  <si>
    <t>14(2)</t>
  </si>
  <si>
    <t>14(3)</t>
  </si>
  <si>
    <t>TOTAL SPSRF Grant = $971,998.51</t>
  </si>
  <si>
    <t>11(6)</t>
  </si>
  <si>
    <t xml:space="preserve">Special revenue fund expenditure for Function 3100 </t>
  </si>
  <si>
    <t xml:space="preserve">6/6/2 Variance is due to $39,754.58 used in Special Revenue Fund for Function 3100-Food Service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</si>
</sst>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1683</v>
      </c>
      <c r="B2" s="21">
        <v>319</v>
      </c>
      <c r="C2" s="21">
        <v>319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3443180.12</v>
      </c>
      <c r="G9" s="18">
        <v>5900</v>
      </c>
      <c r="H9" s="18"/>
      <c r="I9" s="18"/>
      <c r="J9" s="67">
        <f>SUM(I440)</f>
        <v>601461.04</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736434.74</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170533.39</v>
      </c>
      <c r="H13" s="18">
        <v>767346.12</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396</v>
      </c>
      <c r="G14" s="18">
        <v>17335.88</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34360.82</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39811.980000000003</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4219822.8400000008</v>
      </c>
      <c r="G19" s="41">
        <f>SUM(G9:G18)</f>
        <v>228130.09000000003</v>
      </c>
      <c r="H19" s="41">
        <f>SUM(H9:H18)</f>
        <v>767346.12</v>
      </c>
      <c r="I19" s="41">
        <f>SUM(I9:I18)</f>
        <v>0</v>
      </c>
      <c r="J19" s="41">
        <f>SUM(J9:J18)</f>
        <v>601461.04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10923.87</v>
      </c>
      <c r="H22" s="18">
        <v>681033.4</v>
      </c>
      <c r="I22" s="18"/>
      <c r="J22" s="67">
        <f>SUM(I449)</f>
        <v>44477.47</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348035.46</v>
      </c>
      <c r="G24" s="18">
        <v>115848.58</v>
      </c>
      <c r="H24" s="18">
        <v>24853.91</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698539.84</v>
      </c>
      <c r="G28" s="18">
        <v>16996.82</v>
      </c>
      <c r="H28" s="18">
        <v>40625.99</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191595.73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8480</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1246651.03</v>
      </c>
      <c r="G32" s="41">
        <f>SUM(G22:G31)</f>
        <v>143769.26999999999</v>
      </c>
      <c r="H32" s="41">
        <f>SUM(H22:H31)</f>
        <v>746513.3</v>
      </c>
      <c r="I32" s="41">
        <f>SUM(I22:I31)</f>
        <v>0</v>
      </c>
      <c r="J32" s="41">
        <f>SUM(J22:J31)</f>
        <v>44477.47</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34360.82</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39811.980000000003</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50000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34649.760000000002</v>
      </c>
      <c r="G43" s="18"/>
      <c r="H43" s="18">
        <v>20832.82</v>
      </c>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196000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1250000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556983.56999999995</v>
      </c>
      <c r="K48" s="24" t="s">
        <v>288</v>
      </c>
      <c r="L48" s="24" t="s">
        <v>288</v>
      </c>
      <c r="M48" s="8"/>
      <c r="N48" s="264"/>
    </row>
    <row r="49" spans="1:14" s="3" customFormat="1" ht="12.2" customHeight="1" x14ac:dyDescent="0.15">
      <c r="A49" s="1" t="s">
        <v>859</v>
      </c>
      <c r="B49" s="2" t="s">
        <v>289</v>
      </c>
      <c r="C49" s="6">
        <v>34</v>
      </c>
      <c r="D49" s="2"/>
      <c r="E49" s="6">
        <v>753</v>
      </c>
      <c r="F49" s="18">
        <v>128643</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1324067.07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2973171.81</v>
      </c>
      <c r="G51" s="41">
        <f>SUM(G35:G50)</f>
        <v>84360.82</v>
      </c>
      <c r="H51" s="41">
        <f>SUM(H35:H50)</f>
        <v>20832.82</v>
      </c>
      <c r="I51" s="41">
        <f>SUM(I35:I50)</f>
        <v>0</v>
      </c>
      <c r="J51" s="41">
        <f>SUM(J35:J50)</f>
        <v>556983.56999999995</v>
      </c>
      <c r="K51" s="45" t="s">
        <v>288</v>
      </c>
      <c r="L51" s="45" t="s">
        <v>288</v>
      </c>
      <c r="N51" s="262"/>
    </row>
    <row r="52" spans="1:14" s="3" customFormat="1" ht="12.2" customHeight="1" thickTop="1" x14ac:dyDescent="0.15">
      <c r="A52" s="38" t="s">
        <v>455</v>
      </c>
      <c r="B52" s="39" t="s">
        <v>289</v>
      </c>
      <c r="C52" s="6">
        <v>37</v>
      </c>
      <c r="D52" s="39" t="s">
        <v>653</v>
      </c>
      <c r="E52" s="39"/>
      <c r="F52" s="41">
        <f>F51+F32</f>
        <v>4219822.84</v>
      </c>
      <c r="G52" s="41">
        <f>G51+G32</f>
        <v>228130.09</v>
      </c>
      <c r="H52" s="41">
        <f>H51+H32</f>
        <v>767346.12</v>
      </c>
      <c r="I52" s="41">
        <f>I51+I32</f>
        <v>0</v>
      </c>
      <c r="J52" s="41">
        <f>J51+J32</f>
        <v>601461.03999999992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59006065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59006065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64639</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1260</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14525</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1431400.17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1511824.17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4825.3900000000003</v>
      </c>
      <c r="G96" s="18">
        <v>1.5</v>
      </c>
      <c r="H96" s="18"/>
      <c r="I96" s="18"/>
      <c r="J96" s="18">
        <v>1593.62</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126777.72-2426.14</f>
        <v>124351.58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976.26</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1990.25</v>
      </c>
      <c r="G99" s="18">
        <v>23804.37</v>
      </c>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11426.23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9844.31</v>
      </c>
      <c r="G110" s="18">
        <v>50</v>
      </c>
      <c r="H110" s="18">
        <v>8250</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29062.440000000002</v>
      </c>
      <c r="G111" s="41">
        <f>SUM(G96:G110)</f>
        <v>148207.45000000001</v>
      </c>
      <c r="H111" s="41">
        <f>SUM(H96:H110)</f>
        <v>8250</v>
      </c>
      <c r="I111" s="41">
        <f>SUM(I96:I110)</f>
        <v>0</v>
      </c>
      <c r="J111" s="41">
        <f>SUM(J96:J110)</f>
        <v>1593.62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60546951.609999999</v>
      </c>
      <c r="G112" s="41">
        <f>G60+G111</f>
        <v>148207.45000000001</v>
      </c>
      <c r="H112" s="41">
        <f>H60+H79+H94+H111</f>
        <v>8250</v>
      </c>
      <c r="I112" s="41">
        <f>I60+I111</f>
        <v>0</v>
      </c>
      <c r="J112" s="41">
        <f>J60+J111</f>
        <v>1593.62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10363957.470000001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7551810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6207.1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17921974.57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475194.51</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318485.09999999998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12937.5</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11635.98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4650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13092.15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818253.09</v>
      </c>
      <c r="G136" s="41">
        <f>SUM(G123:G135)</f>
        <v>13092.15</v>
      </c>
      <c r="H136" s="41">
        <f>SUM(H123:H135)</f>
        <v>4650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18740227.66</v>
      </c>
      <c r="G140" s="41">
        <f>G121+SUM(G136:G137)</f>
        <v>13092.15</v>
      </c>
      <c r="H140" s="41">
        <f>H121+SUM(H136:H139)</f>
        <v>4650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192121.65400000001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183408.73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34759.68</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1029133.15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1216462.1100000001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110347.27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f>34205.7+29041</f>
        <v>63246.7</v>
      </c>
      <c r="H161" s="18">
        <v>942957.51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474466.07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110347.27</v>
      </c>
      <c r="G163" s="41">
        <f>SUM(G150:G162)</f>
        <v>1092379.8500000001</v>
      </c>
      <c r="H163" s="41">
        <f>SUM(H150:H162)</f>
        <v>3044175.7540000002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110347.27</v>
      </c>
      <c r="G170" s="41">
        <f>G147+G163+SUM(G164:G169)</f>
        <v>1092379.8500000001</v>
      </c>
      <c r="H170" s="41">
        <f>H147+H163+SUM(H164:H169)</f>
        <v>3044175.7540000002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88177.65</v>
      </c>
      <c r="H180" s="18"/>
      <c r="I180" s="18"/>
      <c r="J180" s="18">
        <v>1000000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v>39754.58</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127932.23</v>
      </c>
      <c r="H184" s="41">
        <f>SUM(H180:H183)</f>
        <v>0</v>
      </c>
      <c r="I184" s="41">
        <f>SUM(I180:I183)</f>
        <v>0</v>
      </c>
      <c r="J184" s="41">
        <f>SUM(J180:J183)</f>
        <v>1000000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356464.25</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381134.67</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737598.91999999993</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737598.91999999993</v>
      </c>
      <c r="G193" s="41">
        <f>G184+SUM(G189:G192)</f>
        <v>127932.23</v>
      </c>
      <c r="H193" s="41">
        <f>+H184+SUM(H189:H192)</f>
        <v>0</v>
      </c>
      <c r="I193" s="41">
        <f>I178+I184+SUM(I189:I192)</f>
        <v>0</v>
      </c>
      <c r="J193" s="41">
        <f>J184</f>
        <v>1000000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80135125.459999993</v>
      </c>
      <c r="G194" s="47">
        <f>G112+G140+G170+G193</f>
        <v>1381611.6800000002</v>
      </c>
      <c r="H194" s="47">
        <f>H112+H140+H170+H193</f>
        <v>3057075.7540000002</v>
      </c>
      <c r="I194" s="47">
        <f>I112+I140+I170+I193</f>
        <v>0</v>
      </c>
      <c r="J194" s="47">
        <f>J112+J140+J193</f>
        <v>1001593.62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7096474.17+157151.26</f>
        <v>7253625.4299999997</v>
      </c>
      <c r="G198" s="18">
        <f>4040702.9</f>
        <v>4040702.9</v>
      </c>
      <c r="H198" s="18">
        <f>5241.2+554.95+596</f>
        <v>6392.15</v>
      </c>
      <c r="I198" s="18">
        <f>12951.12+27300.69+22743.08+20434.46+24244.66+3974.6+25827.67+1105.15+2416.04+22040.3+2764.41+23812.98+1200.44+2402.42+21605.36+2684.71+23865.89+989.78+2497.43+25254.21+3350.75+70031.54+11637.5</f>
        <v>355135.19</v>
      </c>
      <c r="J198" s="18">
        <f>725.1+509.92+143.5+10770.6+16492.26</f>
        <v>28641.379999999997</v>
      </c>
      <c r="K198" s="18"/>
      <c r="L198" s="19">
        <f>SUM(F198:K198)</f>
        <v>11684497.050000001</v>
      </c>
      <c r="M198" s="8"/>
      <c r="N198" s="264"/>
    </row>
    <row r="199" spans="1:14" s="3" customFormat="1" ht="12.2" customHeight="1" x14ac:dyDescent="0.15">
      <c r="A199" s="1" t="s">
        <v>439</v>
      </c>
      <c r="B199" s="2" t="s">
        <v>341</v>
      </c>
      <c r="C199" s="2" t="s">
        <v>291</v>
      </c>
      <c r="D199" s="2" t="s">
        <v>431</v>
      </c>
      <c r="E199" s="6">
        <v>1200</v>
      </c>
      <c r="F199" s="18">
        <f>302886.9+3917194.36+385641.82+184539.3</f>
        <v>4790262.38</v>
      </c>
      <c r="G199" s="18">
        <f>2826393.76</f>
        <v>2826393.76</v>
      </c>
      <c r="H199" s="18">
        <f>1175+285803.44+21905.44</f>
        <v>308883.88</v>
      </c>
      <c r="I199" s="18">
        <f>8191.64+6311.63+2068.47+4438.94+2309.31+1267.74+3792.05</f>
        <v>28379.780000000002</v>
      </c>
      <c r="J199" s="18">
        <f>109.95+32.99+79</f>
        <v>221.94</v>
      </c>
      <c r="K199" s="18">
        <f>210+210+210+210+1237.5</f>
        <v>2077.5</v>
      </c>
      <c r="L199" s="19">
        <f>SUM(F199:K199)</f>
        <v>7956219.2400000002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34879+3591+37253.24+62873.97</f>
        <v>138597.21</v>
      </c>
      <c r="G201" s="18">
        <f>93438.61</f>
        <v>93438.61</v>
      </c>
      <c r="H201" s="18"/>
      <c r="I201" s="18">
        <f>19.99+261.4</f>
        <v>281.39</v>
      </c>
      <c r="J201" s="18"/>
      <c r="K201" s="18"/>
      <c r="L201" s="19">
        <f>SUM(F201:K201)</f>
        <v>232317.21000000002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410110.83+340471.71+579550.15+2605+816993.67</f>
        <v>2149731.36</v>
      </c>
      <c r="G203" s="18">
        <f>1320360.12</f>
        <v>1320360.1200000001</v>
      </c>
      <c r="H203" s="18">
        <f>6148.36+163538.21</f>
        <v>169686.56999999998</v>
      </c>
      <c r="I203" s="18">
        <f>628.8+161.42+431.7+1771.08+470+1048.72+923.37</f>
        <v>5435.09</v>
      </c>
      <c r="J203" s="18"/>
      <c r="K203" s="18"/>
      <c r="L203" s="19">
        <f t="shared" ref="L203:L209" si="0">SUM(F203:K203)</f>
        <v>3645213.1399999997</v>
      </c>
      <c r="M203" s="8"/>
      <c r="N203" s="264"/>
    </row>
    <row r="204" spans="1:14" s="3" customFormat="1" ht="12.2" customHeight="1" x14ac:dyDescent="0.15">
      <c r="A204" s="1" t="s">
        <v>443</v>
      </c>
      <c r="B204" s="2" t="s">
        <v>341</v>
      </c>
      <c r="C204" s="2" t="s">
        <v>295</v>
      </c>
      <c r="D204" s="2" t="s">
        <v>431</v>
      </c>
      <c r="E204" s="6">
        <v>2200</v>
      </c>
      <c r="F204" s="18">
        <f>13275+317392.8+46479.49</f>
        <v>377147.29</v>
      </c>
      <c r="G204" s="18">
        <f>95741.83+75.25+193982</f>
        <v>289799.08</v>
      </c>
      <c r="H204" s="18">
        <f>1177+10407.37</f>
        <v>11584.37</v>
      </c>
      <c r="I204" s="18">
        <f>576.35+2172.1+1466.16+1710.26+2627.98+13691.61+13054.22+9732.76+4312+6357.09</f>
        <v>55700.53</v>
      </c>
      <c r="J204" s="18"/>
      <c r="K204" s="18">
        <f>260+223</f>
        <v>483</v>
      </c>
      <c r="L204" s="19">
        <f t="shared" si="0"/>
        <v>734714.27</v>
      </c>
      <c r="M204" s="8"/>
      <c r="N204" s="264"/>
    </row>
    <row r="205" spans="1:14" s="3" customFormat="1" ht="12.2" customHeight="1" x14ac:dyDescent="0.15">
      <c r="A205" s="1" t="s">
        <v>444</v>
      </c>
      <c r="B205" s="2" t="s">
        <v>341</v>
      </c>
      <c r="C205" s="2" t="s">
        <v>296</v>
      </c>
      <c r="D205" s="2" t="s">
        <v>431</v>
      </c>
      <c r="E205" s="6">
        <v>2300</v>
      </c>
      <c r="F205" s="18">
        <f>163985.73</f>
        <v>163985.73000000001</v>
      </c>
      <c r="G205" s="18">
        <f>90996.16</f>
        <v>90996.160000000003</v>
      </c>
      <c r="H205" s="18">
        <f>268906.06</f>
        <v>268906.06</v>
      </c>
      <c r="I205" s="18">
        <f>15177.62</f>
        <v>15177.62</v>
      </c>
      <c r="J205" s="18"/>
      <c r="K205" s="18">
        <f>8158.75</f>
        <v>8158.75</v>
      </c>
      <c r="L205" s="19">
        <f t="shared" si="0"/>
        <v>547224.32000000007</v>
      </c>
      <c r="M205" s="8"/>
      <c r="N205" s="264"/>
    </row>
    <row r="206" spans="1:14" s="3" customFormat="1" ht="12.2" customHeight="1" x14ac:dyDescent="0.15">
      <c r="A206" s="1" t="s">
        <v>445</v>
      </c>
      <c r="B206" s="2" t="s">
        <v>341</v>
      </c>
      <c r="C206" s="2" t="s">
        <v>297</v>
      </c>
      <c r="D206" s="2" t="s">
        <v>431</v>
      </c>
      <c r="E206" s="6">
        <v>2400</v>
      </c>
      <c r="F206" s="18">
        <f>962563.19</f>
        <v>962563.19</v>
      </c>
      <c r="G206" s="18">
        <f>555781.28</f>
        <v>555781.28</v>
      </c>
      <c r="H206" s="18">
        <f>2387.05+3305.24+2737.82+2504.63+457.9+611.55+175+16.4+200.51+165.98</f>
        <v>12562.08</v>
      </c>
      <c r="I206" s="18">
        <f>912.55+1131.22</f>
        <v>2043.77</v>
      </c>
      <c r="J206" s="18"/>
      <c r="K206" s="18">
        <f>894+1550+1808+1074</f>
        <v>5326</v>
      </c>
      <c r="L206" s="19">
        <f t="shared" si="0"/>
        <v>1538276.32</v>
      </c>
      <c r="M206" s="8"/>
      <c r="N206" s="264"/>
    </row>
    <row r="207" spans="1:14" s="3" customFormat="1" ht="12.2" customHeight="1" x14ac:dyDescent="0.15">
      <c r="A207" s="1" t="s">
        <v>446</v>
      </c>
      <c r="B207" s="2" t="s">
        <v>341</v>
      </c>
      <c r="C207" s="2" t="s">
        <v>298</v>
      </c>
      <c r="D207" s="2" t="s">
        <v>431</v>
      </c>
      <c r="E207" s="6">
        <v>2500</v>
      </c>
      <c r="F207" s="18">
        <f>278882.01</f>
        <v>278882.01</v>
      </c>
      <c r="G207" s="18">
        <f>191167.42</f>
        <v>191167.42</v>
      </c>
      <c r="H207" s="18">
        <f>2025.09</f>
        <v>2025.09</v>
      </c>
      <c r="I207" s="18"/>
      <c r="J207" s="18"/>
      <c r="K207" s="18"/>
      <c r="L207" s="19">
        <f t="shared" si="0"/>
        <v>472074.52000000008</v>
      </c>
      <c r="M207" s="8"/>
      <c r="N207" s="264"/>
    </row>
    <row r="208" spans="1:14" s="3" customFormat="1" ht="12.2" customHeight="1" x14ac:dyDescent="0.15">
      <c r="A208" s="1" t="s">
        <v>447</v>
      </c>
      <c r="B208" s="2" t="s">
        <v>341</v>
      </c>
      <c r="C208" s="2" t="s">
        <v>299</v>
      </c>
      <c r="D208" s="2" t="s">
        <v>431</v>
      </c>
      <c r="E208" s="6">
        <v>2600</v>
      </c>
      <c r="F208" s="18">
        <f>794839.56+332418.34</f>
        <v>1127257.9000000001</v>
      </c>
      <c r="G208" s="18">
        <f>594268</f>
        <v>594268</v>
      </c>
      <c r="H208" s="18">
        <f>873.41+1314.99+84.41+37240+743.08+445.95+1799.86+7997.33+2824.67+734.81+1954.85+6759.24+9191.56+4260.3+11085.94+448.8+1078.8+726+6850+16057.98+30729.83+26119.05+29664.38+8235.5+8448+8028.09+9749.74+458663.82</f>
        <v>692110.39</v>
      </c>
      <c r="I208" s="18">
        <f>6050.08+12331.99+9922.35+23115.47+1608.75+2547.25+1645+1645+16108.06+28915.19+24983.88+32512.01+63551.71+47183.7+65163.05+50614.94+17837.19</f>
        <v>405735.62</v>
      </c>
      <c r="J208" s="18">
        <f>448.94+1277+1320.94+64940.21</f>
        <v>67987.09</v>
      </c>
      <c r="K208" s="18">
        <f>313.9</f>
        <v>313.89999999999998</v>
      </c>
      <c r="L208" s="19">
        <f t="shared" si="0"/>
        <v>2887672.9</v>
      </c>
      <c r="M208" s="8"/>
      <c r="N208" s="264"/>
    </row>
    <row r="209" spans="1:14" s="3" customFormat="1" ht="12.2" customHeight="1" x14ac:dyDescent="0.15">
      <c r="A209" s="1" t="s">
        <v>448</v>
      </c>
      <c r="B209" s="2" t="s">
        <v>341</v>
      </c>
      <c r="C209" s="2" t="s">
        <v>300</v>
      </c>
      <c r="D209" s="2" t="s">
        <v>431</v>
      </c>
      <c r="E209" s="6">
        <v>2700</v>
      </c>
      <c r="F209" s="18"/>
      <c r="G209" s="18"/>
      <c r="H209" s="18">
        <f>2057641.6-0.01</f>
        <v>2057641.59</v>
      </c>
      <c r="I209" s="18"/>
      <c r="J209" s="18"/>
      <c r="K209" s="18"/>
      <c r="L209" s="19">
        <f t="shared" si="0"/>
        <v>2057641.59</v>
      </c>
      <c r="M209" s="8"/>
      <c r="N209" s="264"/>
    </row>
    <row r="210" spans="1:14" s="3" customFormat="1" ht="12.2" customHeight="1" x14ac:dyDescent="0.15">
      <c r="A210" s="1" t="s">
        <v>449</v>
      </c>
      <c r="B210" s="2" t="s">
        <v>341</v>
      </c>
      <c r="C210" s="2" t="s">
        <v>343</v>
      </c>
      <c r="D210" s="2" t="s">
        <v>431</v>
      </c>
      <c r="E210" s="6">
        <v>2800</v>
      </c>
      <c r="F210" s="18">
        <f>230458.7</f>
        <v>230458.7</v>
      </c>
      <c r="G210" s="18">
        <f>120311.62</f>
        <v>120311.62</v>
      </c>
      <c r="H210" s="18">
        <f>126723.57</f>
        <v>126723.57</v>
      </c>
      <c r="I210" s="18">
        <f>120854.85</f>
        <v>120854.85</v>
      </c>
      <c r="J210" s="18">
        <f>216651.87</f>
        <v>216651.87</v>
      </c>
      <c r="K210" s="18"/>
      <c r="L210" s="19">
        <f>SUM(F210:K210)</f>
        <v>815000.61</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17472511.199999996</v>
      </c>
      <c r="G212" s="41">
        <f t="shared" si="1"/>
        <v>10123218.949999999</v>
      </c>
      <c r="H212" s="41">
        <f t="shared" si="1"/>
        <v>3656515.7499999995</v>
      </c>
      <c r="I212" s="41">
        <f t="shared" si="1"/>
        <v>988743.84000000008</v>
      </c>
      <c r="J212" s="41">
        <f t="shared" si="1"/>
        <v>313502.27999999997</v>
      </c>
      <c r="K212" s="41">
        <f t="shared" si="1"/>
        <v>16359.15</v>
      </c>
      <c r="L212" s="41">
        <f t="shared" si="1"/>
        <v>32570851.169999998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4605590.23+81511.08</f>
        <v>4687101.3100000005</v>
      </c>
      <c r="G216" s="18">
        <f>2548139.74</f>
        <v>2548139.7400000002</v>
      </c>
      <c r="H216" s="18">
        <f>3253.54+3591.2+2848+1377.81</f>
        <v>11070.55</v>
      </c>
      <c r="I216" s="18">
        <f>2599.3+3974.98+351.08+1770.18+9813.11+313.17+3846.09+1602.1+24119.71+3790.43+1191.05+1089.81+10870.54+7791.14+1411.72+125+970.39+2794.37+750+13126.1</f>
        <v>92300.27</v>
      </c>
      <c r="J216" s="18">
        <f>9519.07+31547.38</f>
        <v>41066.449999999997</v>
      </c>
      <c r="K216" s="18"/>
      <c r="L216" s="19">
        <f>SUM(F216:K216)</f>
        <v>7379678.3200000003</v>
      </c>
      <c r="M216" s="8"/>
      <c r="N216" s="264"/>
    </row>
    <row r="217" spans="1:14" s="3" customFormat="1" ht="12.2" customHeight="1" x14ac:dyDescent="0.15">
      <c r="A217" s="1" t="s">
        <v>439</v>
      </c>
      <c r="B217" s="2" t="s">
        <v>346</v>
      </c>
      <c r="C217" s="2" t="s">
        <v>291</v>
      </c>
      <c r="D217" s="2" t="s">
        <v>431</v>
      </c>
      <c r="E217" s="6">
        <v>1200</v>
      </c>
      <c r="F217" s="18">
        <f>138549.06+1268167.42+49368.63+121672.7</f>
        <v>1577757.8099999998</v>
      </c>
      <c r="G217" s="18">
        <f>894046.41</f>
        <v>894046.41</v>
      </c>
      <c r="H217" s="18">
        <f>637007.75+11207.43</f>
        <v>648215.18000000005</v>
      </c>
      <c r="I217" s="18">
        <f>3157.59+1901.04</f>
        <v>5058.63</v>
      </c>
      <c r="J217" s="18"/>
      <c r="K217" s="18">
        <f>1237.5</f>
        <v>1237.5</v>
      </c>
      <c r="L217" s="19">
        <f>SUM(F217:K217)</f>
        <v>3126315.53</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39588+109291.14+7120+23894.27</f>
        <v>179893.41</v>
      </c>
      <c r="G219" s="18">
        <f>106356.39</f>
        <v>106356.39</v>
      </c>
      <c r="H219" s="18">
        <f>130.31+11344</f>
        <v>11474.31</v>
      </c>
      <c r="I219" s="18">
        <f>116.3+1827.5+65.35</f>
        <v>2009.1499999999999</v>
      </c>
      <c r="J219" s="18">
        <f>2806.15</f>
        <v>2806.15</v>
      </c>
      <c r="K219" s="18">
        <f>673</f>
        <v>673</v>
      </c>
      <c r="L219" s="19">
        <f>SUM(F219:K219)</f>
        <v>303212.41000000003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45393.12+268008.28+95261.92+131615.44+231450.28</f>
        <v>771729.04</v>
      </c>
      <c r="G221" s="18">
        <f>417389.04</f>
        <v>417389.04</v>
      </c>
      <c r="H221" s="18">
        <f>90709.26</f>
        <v>90709.26</v>
      </c>
      <c r="I221" s="18">
        <f>373.26+8950+4377.55+472.42-0.01</f>
        <v>14173.220000000001</v>
      </c>
      <c r="J221" s="18"/>
      <c r="K221" s="18"/>
      <c r="L221" s="19">
        <f t="shared" ref="L221:L227" si="2">SUM(F221:K221)</f>
        <v>1294000.56</v>
      </c>
      <c r="M221" s="8"/>
      <c r="N221" s="264"/>
    </row>
    <row r="222" spans="1:14" s="3" customFormat="1" ht="12.2" customHeight="1" x14ac:dyDescent="0.15">
      <c r="A222" s="1" t="s">
        <v>443</v>
      </c>
      <c r="B222" s="2" t="s">
        <v>346</v>
      </c>
      <c r="C222" s="2" t="s">
        <v>295</v>
      </c>
      <c r="D222" s="2" t="s">
        <v>431</v>
      </c>
      <c r="E222" s="6">
        <v>2200</v>
      </c>
      <c r="F222" s="18">
        <f>4687.5+185660.44+23780.2</f>
        <v>214128.14</v>
      </c>
      <c r="G222" s="18">
        <f>39250.08+38.5+110016.43</f>
        <v>149305.01</v>
      </c>
      <c r="H222" s="18">
        <f>18438+5324.7</f>
        <v>23762.7</v>
      </c>
      <c r="I222" s="18">
        <f>5755.61+23292.91+1766+3252.46</f>
        <v>34066.980000000003</v>
      </c>
      <c r="J222" s="18"/>
      <c r="K222" s="18">
        <f>297</f>
        <v>297</v>
      </c>
      <c r="L222" s="19">
        <f t="shared" si="2"/>
        <v>421559.83</v>
      </c>
      <c r="M222" s="8"/>
      <c r="N222" s="264"/>
    </row>
    <row r="223" spans="1:14" s="3" customFormat="1" ht="12.2" customHeight="1" x14ac:dyDescent="0.15">
      <c r="A223" s="1" t="s">
        <v>444</v>
      </c>
      <c r="B223" s="2" t="s">
        <v>346</v>
      </c>
      <c r="C223" s="2" t="s">
        <v>296</v>
      </c>
      <c r="D223" s="2" t="s">
        <v>431</v>
      </c>
      <c r="E223" s="6">
        <v>2300</v>
      </c>
      <c r="F223" s="18">
        <f>83899.68</f>
        <v>83899.68</v>
      </c>
      <c r="G223" s="18">
        <f>46359.27</f>
        <v>46359.27</v>
      </c>
      <c r="H223" s="18">
        <f>137579.85</f>
        <v>137579.85</v>
      </c>
      <c r="I223" s="18">
        <f>7765.3</f>
        <v>7765.3</v>
      </c>
      <c r="J223" s="18"/>
      <c r="K223" s="18">
        <f>4174.24</f>
        <v>4174.24</v>
      </c>
      <c r="L223" s="19">
        <f t="shared" si="2"/>
        <v>279778.33999999997</v>
      </c>
      <c r="M223" s="8"/>
      <c r="N223" s="264"/>
    </row>
    <row r="224" spans="1:14" s="3" customFormat="1" ht="12.2" customHeight="1" x14ac:dyDescent="0.15">
      <c r="A224" s="1" t="s">
        <v>445</v>
      </c>
      <c r="B224" s="2" t="s">
        <v>346</v>
      </c>
      <c r="C224" s="2" t="s">
        <v>297</v>
      </c>
      <c r="D224" s="2" t="s">
        <v>431</v>
      </c>
      <c r="E224" s="6">
        <v>2400</v>
      </c>
      <c r="F224" s="18">
        <f>456716.9</f>
        <v>456716.9</v>
      </c>
      <c r="G224" s="18">
        <f>281539.46</f>
        <v>281539.46000000002</v>
      </c>
      <c r="H224" s="18">
        <f>4609.71+1028+324+84.92</f>
        <v>6046.63</v>
      </c>
      <c r="I224" s="18">
        <f>1563.59</f>
        <v>1563.59</v>
      </c>
      <c r="J224" s="18"/>
      <c r="K224" s="18">
        <f>4817.61</f>
        <v>4817.6099999999997</v>
      </c>
      <c r="L224" s="19">
        <f t="shared" si="2"/>
        <v>750684.19000000006</v>
      </c>
      <c r="M224" s="8"/>
      <c r="N224" s="264"/>
    </row>
    <row r="225" spans="1:14" s="3" customFormat="1" ht="12.2" customHeight="1" x14ac:dyDescent="0.15">
      <c r="A225" s="1" t="s">
        <v>446</v>
      </c>
      <c r="B225" s="2" t="s">
        <v>346</v>
      </c>
      <c r="C225" s="2" t="s">
        <v>298</v>
      </c>
      <c r="D225" s="2" t="s">
        <v>431</v>
      </c>
      <c r="E225" s="6">
        <v>2500</v>
      </c>
      <c r="F225" s="18">
        <f>142683.82</f>
        <v>142683.82</v>
      </c>
      <c r="G225" s="18">
        <f>97699.47</f>
        <v>97699.47</v>
      </c>
      <c r="H225" s="18">
        <f>1036.09</f>
        <v>1036.0899999999999</v>
      </c>
      <c r="I225" s="18"/>
      <c r="J225" s="18"/>
      <c r="K225" s="18"/>
      <c r="L225" s="19">
        <f t="shared" si="2"/>
        <v>241419.38</v>
      </c>
      <c r="M225" s="8"/>
      <c r="N225" s="264"/>
    </row>
    <row r="226" spans="1:14" s="3" customFormat="1" ht="12.2" customHeight="1" x14ac:dyDescent="0.15">
      <c r="A226" s="1" t="s">
        <v>447</v>
      </c>
      <c r="B226" s="2" t="s">
        <v>346</v>
      </c>
      <c r="C226" s="2" t="s">
        <v>299</v>
      </c>
      <c r="D226" s="2" t="s">
        <v>431</v>
      </c>
      <c r="E226" s="6">
        <v>2600</v>
      </c>
      <c r="F226" s="18">
        <f>508309.57+214508.3</f>
        <v>722817.87</v>
      </c>
      <c r="G226" s="18">
        <f>382701.87</f>
        <v>382701.87</v>
      </c>
      <c r="H226" s="18">
        <f>628.05+1164.71+12033.65+1562.4+39354.78+13019.5+282789.77</f>
        <v>350552.86</v>
      </c>
      <c r="I226" s="18">
        <f>14386.52+1941+41843.3+105755.81+9178.81</f>
        <v>173105.44</v>
      </c>
      <c r="J226" s="18">
        <f>640+3242.01+34654.99</f>
        <v>38537</v>
      </c>
      <c r="K226" s="18">
        <f>160.6</f>
        <v>160.6</v>
      </c>
      <c r="L226" s="19">
        <f t="shared" si="2"/>
        <v>1667875.6400000001</v>
      </c>
      <c r="M226" s="8"/>
      <c r="N226" s="264"/>
    </row>
    <row r="227" spans="1:14" s="3" customFormat="1" ht="12.2" customHeight="1" x14ac:dyDescent="0.15">
      <c r="A227" s="1" t="s">
        <v>448</v>
      </c>
      <c r="B227" s="2" t="s">
        <v>346</v>
      </c>
      <c r="C227" s="2" t="s">
        <v>300</v>
      </c>
      <c r="D227" s="2" t="s">
        <v>431</v>
      </c>
      <c r="E227" s="6">
        <v>2700</v>
      </c>
      <c r="F227" s="18"/>
      <c r="G227" s="18"/>
      <c r="H227" s="18">
        <f>11262.11+984378.23</f>
        <v>995640.34</v>
      </c>
      <c r="I227" s="18"/>
      <c r="J227" s="18"/>
      <c r="K227" s="18"/>
      <c r="L227" s="19">
        <f t="shared" si="2"/>
        <v>995640.34</v>
      </c>
      <c r="M227" s="8"/>
      <c r="N227" s="264"/>
    </row>
    <row r="228" spans="1:14" s="3" customFormat="1" ht="12.2" customHeight="1" x14ac:dyDescent="0.15">
      <c r="A228" s="1" t="s">
        <v>449</v>
      </c>
      <c r="B228" s="2" t="s">
        <v>346</v>
      </c>
      <c r="C228" s="2" t="s">
        <v>343</v>
      </c>
      <c r="D228" s="2" t="s">
        <v>431</v>
      </c>
      <c r="E228" s="6">
        <v>2800</v>
      </c>
      <c r="F228" s="18">
        <f>117909.1</f>
        <v>117909.1</v>
      </c>
      <c r="G228" s="18">
        <f>61088.89</f>
        <v>61088.89</v>
      </c>
      <c r="H228" s="18">
        <f>64835.31</f>
        <v>64835.31</v>
      </c>
      <c r="I228" s="18">
        <f>61832.72</f>
        <v>61832.72</v>
      </c>
      <c r="J228" s="18">
        <f>150107.68</f>
        <v>150107.68</v>
      </c>
      <c r="K228" s="18"/>
      <c r="L228" s="19">
        <f>SUM(F228:K228)</f>
        <v>455773.7</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8954637.0800000001</v>
      </c>
      <c r="G230" s="41">
        <f>SUM(G216:G229)</f>
        <v>4984625.5500000007</v>
      </c>
      <c r="H230" s="41">
        <f>SUM(H216:H229)</f>
        <v>2340923.08</v>
      </c>
      <c r="I230" s="41">
        <f>SUM(I216:I229)</f>
        <v>391875.29999999993</v>
      </c>
      <c r="J230" s="41">
        <f>SUM(J216:J229)</f>
        <v>232517.28</v>
      </c>
      <c r="K230" s="41">
        <f t="shared" si="3"/>
        <v>11359.949999999999</v>
      </c>
      <c r="L230" s="41">
        <f t="shared" si="3"/>
        <v>16915938.240000002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6980784.69+245695.03+0.03</f>
        <v>7226479.7500000009</v>
      </c>
      <c r="G234" s="18">
        <f>3959594.57+0.02</f>
        <v>3959594.59</v>
      </c>
      <c r="H234" s="18">
        <f>1330.73+3174.39+3392.2+545+5646.26</f>
        <v>14088.58</v>
      </c>
      <c r="I234" s="18">
        <f>16993.77+3214.95+11515+1057+2028.86+3275.62+5367.67+36022.46+991.82+14783.64+37103.4+1197.47+1245.48+39589.84+4048.96+2281.85+52846.64+447.53+45+6295.17+28829.77+1050+7530+36339.23+5332.62</f>
        <v>319433.75</v>
      </c>
      <c r="J234" s="18">
        <f>7638.12+31605.08</f>
        <v>39243.200000000004</v>
      </c>
      <c r="K234" s="18">
        <f>3297</f>
        <v>3297</v>
      </c>
      <c r="L234" s="19">
        <f>SUM(F234:K234)</f>
        <v>11562136.869999999</v>
      </c>
      <c r="M234" s="8"/>
      <c r="N234" s="264"/>
    </row>
    <row r="235" spans="1:14" s="3" customFormat="1" ht="12.2" customHeight="1" x14ac:dyDescent="0.15">
      <c r="A235" s="1" t="s">
        <v>439</v>
      </c>
      <c r="B235" s="2" t="s">
        <v>350</v>
      </c>
      <c r="C235" s="2" t="s">
        <v>291</v>
      </c>
      <c r="D235" s="2" t="s">
        <v>431</v>
      </c>
      <c r="E235" s="6">
        <v>1200</v>
      </c>
      <c r="F235" s="18">
        <f>108769.83+1461278.27+84438.03</f>
        <v>1654486.1300000001</v>
      </c>
      <c r="G235" s="18">
        <f>1065606.2</f>
        <v>1065606.2</v>
      </c>
      <c r="H235" s="18">
        <f>6485.64+863874.51+12585+17830.01</f>
        <v>900775.16</v>
      </c>
      <c r="I235" s="18">
        <f>5880.86+2813.39</f>
        <v>8694.25</v>
      </c>
      <c r="J235" s="18"/>
      <c r="K235" s="18"/>
      <c r="L235" s="19">
        <f>SUM(F235:K235)</f>
        <v>3629561.74</v>
      </c>
      <c r="M235" s="8"/>
      <c r="N235" s="264"/>
    </row>
    <row r="236" spans="1:14" s="3" customFormat="1" ht="12.2" customHeight="1" x14ac:dyDescent="0.15">
      <c r="A236" s="1" t="s">
        <v>440</v>
      </c>
      <c r="B236" s="2" t="s">
        <v>350</v>
      </c>
      <c r="C236" s="2" t="s">
        <v>292</v>
      </c>
      <c r="D236" s="2" t="s">
        <v>431</v>
      </c>
      <c r="E236" s="6">
        <v>1300</v>
      </c>
      <c r="F236" s="18"/>
      <c r="G236" s="18"/>
      <c r="H236" s="18">
        <f>102862.07</f>
        <v>102862.07</v>
      </c>
      <c r="I236" s="18"/>
      <c r="J236" s="18"/>
      <c r="K236" s="18"/>
      <c r="L236" s="19">
        <f>SUM(F236:K236)</f>
        <v>102862.07</v>
      </c>
      <c r="M236" s="8"/>
      <c r="N236" s="264"/>
    </row>
    <row r="237" spans="1:14" s="3" customFormat="1" ht="12.2" customHeight="1" x14ac:dyDescent="0.15">
      <c r="A237" s="1" t="s">
        <v>441</v>
      </c>
      <c r="B237" s="2" t="s">
        <v>350</v>
      </c>
      <c r="C237" s="2" t="s">
        <v>293</v>
      </c>
      <c r="D237" s="2" t="s">
        <v>431</v>
      </c>
      <c r="E237" s="6">
        <v>1400</v>
      </c>
      <c r="F237" s="18">
        <f>87725+521939.59+24799.15+33287.62</f>
        <v>667751.3600000001</v>
      </c>
      <c r="G237" s="18">
        <f>356563.62</f>
        <v>356563.62</v>
      </c>
      <c r="H237" s="18">
        <f>957.82+44007.5+9702.28+49030</f>
        <v>103697.60000000001</v>
      </c>
      <c r="I237" s="18">
        <f>1025.25+27835.86+700+326.76</f>
        <v>29887.87</v>
      </c>
      <c r="J237" s="18">
        <f>7811.05+45271.88+15901.49</f>
        <v>68984.42</v>
      </c>
      <c r="K237" s="18">
        <f>535+39348.88</f>
        <v>39883.879999999997</v>
      </c>
      <c r="L237" s="19">
        <f>SUM(F237:K237)</f>
        <v>1266768.75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160411.84+565475.72+43719.21+118853.86+83985.46+297397.51</f>
        <v>1269843.5999999999</v>
      </c>
      <c r="G239" s="18">
        <f>698661.3</f>
        <v>698661.3</v>
      </c>
      <c r="H239" s="18">
        <f>213596.63</f>
        <v>213596.63</v>
      </c>
      <c r="I239" s="18">
        <f>382.67+6180+1100.66+934.21+751.58</f>
        <v>9349.1200000000008</v>
      </c>
      <c r="J239" s="18"/>
      <c r="K239" s="18">
        <f>645+1000</f>
        <v>1645</v>
      </c>
      <c r="L239" s="19">
        <f t="shared" ref="L239:L245" si="4">SUM(F239:K239)</f>
        <v>2193095.65</v>
      </c>
      <c r="M239" s="8"/>
      <c r="N239" s="264"/>
    </row>
    <row r="240" spans="1:14" s="3" customFormat="1" ht="12.2" customHeight="1" x14ac:dyDescent="0.15">
      <c r="A240" s="1" t="s">
        <v>443</v>
      </c>
      <c r="B240" s="2" t="s">
        <v>350</v>
      </c>
      <c r="C240" s="2" t="s">
        <v>295</v>
      </c>
      <c r="D240" s="2" t="s">
        <v>431</v>
      </c>
      <c r="E240" s="6">
        <v>2200</v>
      </c>
      <c r="F240" s="18">
        <f>750+200550.39+37832.14</f>
        <v>239132.53000000003</v>
      </c>
      <c r="G240" s="18">
        <f>59502.64+61.25+129608.39</f>
        <v>189172.28</v>
      </c>
      <c r="H240" s="18">
        <f>8471.11</f>
        <v>8471.11</v>
      </c>
      <c r="I240" s="18">
        <f>3863.99+63724.1+2520+5174.38</f>
        <v>75282.47</v>
      </c>
      <c r="J240" s="18"/>
      <c r="K240" s="18">
        <f>332</f>
        <v>332</v>
      </c>
      <c r="L240" s="19">
        <f t="shared" si="4"/>
        <v>512390.39</v>
      </c>
      <c r="M240" s="8"/>
      <c r="N240" s="264"/>
    </row>
    <row r="241" spans="1:14" s="3" customFormat="1" ht="12.2" customHeight="1" x14ac:dyDescent="0.15">
      <c r="A241" s="1" t="s">
        <v>444</v>
      </c>
      <c r="B241" s="2" t="s">
        <v>350</v>
      </c>
      <c r="C241" s="2" t="s">
        <v>296</v>
      </c>
      <c r="D241" s="2" t="s">
        <v>431</v>
      </c>
      <c r="E241" s="6">
        <v>2300</v>
      </c>
      <c r="F241" s="18">
        <f>133476.76</f>
        <v>133476.76</v>
      </c>
      <c r="G241" s="18">
        <f>73779.53</f>
        <v>73779.53</v>
      </c>
      <c r="H241" s="18">
        <f>218877.03</f>
        <v>218877.03</v>
      </c>
      <c r="I241" s="18">
        <f>12353.88</f>
        <v>12353.88</v>
      </c>
      <c r="J241" s="18"/>
      <c r="K241" s="18">
        <f>6640.84</f>
        <v>6640.84</v>
      </c>
      <c r="L241" s="19">
        <f t="shared" si="4"/>
        <v>445128.04000000004</v>
      </c>
      <c r="M241" s="8"/>
      <c r="N241" s="264"/>
    </row>
    <row r="242" spans="1:14" s="3" customFormat="1" ht="12.2" customHeight="1" x14ac:dyDescent="0.15">
      <c r="A242" s="1" t="s">
        <v>445</v>
      </c>
      <c r="B242" s="2" t="s">
        <v>350</v>
      </c>
      <c r="C242" s="2" t="s">
        <v>297</v>
      </c>
      <c r="D242" s="2" t="s">
        <v>431</v>
      </c>
      <c r="E242" s="6">
        <v>2400</v>
      </c>
      <c r="F242" s="18">
        <f>980693.86+14937.5</f>
        <v>995631.36</v>
      </c>
      <c r="G242" s="18">
        <f>549354.19</f>
        <v>549354.18999999994</v>
      </c>
      <c r="H242" s="18">
        <f>4515+9281.43+226.09+28379+135.1</f>
        <v>42536.62</v>
      </c>
      <c r="I242" s="18">
        <f>2566.55+11322.88</f>
        <v>13889.43</v>
      </c>
      <c r="J242" s="18"/>
      <c r="K242" s="18">
        <f>4050</f>
        <v>4050</v>
      </c>
      <c r="L242" s="19">
        <f t="shared" si="4"/>
        <v>1605461.5999999999</v>
      </c>
      <c r="M242" s="8"/>
      <c r="N242" s="264"/>
    </row>
    <row r="243" spans="1:14" s="3" customFormat="1" ht="12.2" customHeight="1" x14ac:dyDescent="0.15">
      <c r="A243" s="1" t="s">
        <v>446</v>
      </c>
      <c r="B243" s="2" t="s">
        <v>350</v>
      </c>
      <c r="C243" s="2" t="s">
        <v>298</v>
      </c>
      <c r="D243" s="2" t="s">
        <v>431</v>
      </c>
      <c r="E243" s="6">
        <v>2500</v>
      </c>
      <c r="F243" s="18">
        <f>226996.98</f>
        <v>226996.98</v>
      </c>
      <c r="G243" s="18">
        <f>155006.33</f>
        <v>155006.32999999999</v>
      </c>
      <c r="H243" s="18">
        <f>1648.33</f>
        <v>1648.33</v>
      </c>
      <c r="I243" s="18"/>
      <c r="J243" s="18"/>
      <c r="K243" s="18"/>
      <c r="L243" s="19">
        <f t="shared" si="4"/>
        <v>383651.64</v>
      </c>
      <c r="M243" s="8"/>
      <c r="N243" s="264"/>
    </row>
    <row r="244" spans="1:14" s="3" customFormat="1" ht="12.2" customHeight="1" x14ac:dyDescent="0.15">
      <c r="A244" s="1" t="s">
        <v>447</v>
      </c>
      <c r="B244" s="2" t="s">
        <v>350</v>
      </c>
      <c r="C244" s="2" t="s">
        <v>299</v>
      </c>
      <c r="D244" s="2" t="s">
        <v>431</v>
      </c>
      <c r="E244" s="6">
        <v>2600</v>
      </c>
      <c r="F244" s="18">
        <f>695986.1+346658.35</f>
        <v>1042644.45</v>
      </c>
      <c r="G244" s="18">
        <f>546095.26</f>
        <v>546095.26</v>
      </c>
      <c r="H244" s="18">
        <f>2852.25+70.17+13569.47+20507.12+1940.4+150367.06+18902.06+627569.8-0.01</f>
        <v>835778.32000000007</v>
      </c>
      <c r="I244" s="18">
        <f>33978.99+32029.11+105048.91+277687.72+14813.61</f>
        <v>463558.33999999997</v>
      </c>
      <c r="J244" s="18">
        <f>4430.99+5500+2155.06+51192.19</f>
        <v>63278.240000000005</v>
      </c>
      <c r="K244" s="18">
        <f>255.5</f>
        <v>255.5</v>
      </c>
      <c r="L244" s="19">
        <f t="shared" si="4"/>
        <v>2951610.1100000003</v>
      </c>
      <c r="M244" s="8"/>
      <c r="N244" s="264"/>
    </row>
    <row r="245" spans="1:14" s="3" customFormat="1" ht="12.2" customHeight="1" x14ac:dyDescent="0.15">
      <c r="A245" s="1" t="s">
        <v>448</v>
      </c>
      <c r="B245" s="2" t="s">
        <v>350</v>
      </c>
      <c r="C245" s="2" t="s">
        <v>300</v>
      </c>
      <c r="D245" s="2" t="s">
        <v>431</v>
      </c>
      <c r="E245" s="6">
        <v>2700</v>
      </c>
      <c r="F245" s="18"/>
      <c r="G245" s="18"/>
      <c r="H245" s="18">
        <f>41580.55+615.71+1044794.76</f>
        <v>1086991.02</v>
      </c>
      <c r="I245" s="18"/>
      <c r="J245" s="18"/>
      <c r="K245" s="18"/>
      <c r="L245" s="19">
        <f t="shared" si="4"/>
        <v>1086991.02</v>
      </c>
      <c r="M245" s="8"/>
      <c r="N245" s="264"/>
    </row>
    <row r="246" spans="1:14" s="3" customFormat="1" ht="12.2" customHeight="1" x14ac:dyDescent="0.15">
      <c r="A246" s="1" t="s">
        <v>449</v>
      </c>
      <c r="B246" s="2" t="s">
        <v>350</v>
      </c>
      <c r="C246" s="2" t="s">
        <v>343</v>
      </c>
      <c r="D246" s="2" t="s">
        <v>431</v>
      </c>
      <c r="E246" s="6">
        <v>2800</v>
      </c>
      <c r="F246" s="18">
        <f>187582.66</f>
        <v>187582.66</v>
      </c>
      <c r="G246" s="18">
        <f>99909.3</f>
        <v>99909.3</v>
      </c>
      <c r="H246" s="18">
        <f>103147.09</f>
        <v>103147.09</v>
      </c>
      <c r="I246" s="18">
        <f>98370.23</f>
        <v>98370.23</v>
      </c>
      <c r="J246" s="18">
        <f>141450.06</f>
        <v>141450.06</v>
      </c>
      <c r="K246" s="18"/>
      <c r="L246" s="19">
        <f>SUM(F246:K246)</f>
        <v>630459.34000000008</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13644025.579999998</v>
      </c>
      <c r="G248" s="41">
        <f t="shared" si="5"/>
        <v>7693742.6000000006</v>
      </c>
      <c r="H248" s="41">
        <f t="shared" si="5"/>
        <v>3632469.56</v>
      </c>
      <c r="I248" s="41">
        <f t="shared" si="5"/>
        <v>1030819.3399999999</v>
      </c>
      <c r="J248" s="41">
        <f t="shared" si="5"/>
        <v>312955.92</v>
      </c>
      <c r="K248" s="41">
        <f t="shared" si="5"/>
        <v>56104.22</v>
      </c>
      <c r="L248" s="41">
        <f t="shared" si="5"/>
        <v>26370117.219999999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f>40632.53</f>
        <v>40632.53</v>
      </c>
      <c r="G252" s="18">
        <f>28634.41</f>
        <v>28634.41</v>
      </c>
      <c r="H252" s="18"/>
      <c r="I252" s="18">
        <f>231.2+965.98</f>
        <v>1197.18</v>
      </c>
      <c r="J252" s="18"/>
      <c r="K252" s="18"/>
      <c r="L252" s="19">
        <f t="shared" si="6"/>
        <v>70464.12</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40632.53</v>
      </c>
      <c r="G257" s="41">
        <f t="shared" si="7"/>
        <v>28634.41</v>
      </c>
      <c r="H257" s="41">
        <f t="shared" si="7"/>
        <v>0</v>
      </c>
      <c r="I257" s="41">
        <f t="shared" si="7"/>
        <v>1197.18</v>
      </c>
      <c r="J257" s="41">
        <f t="shared" si="7"/>
        <v>0</v>
      </c>
      <c r="K257" s="41">
        <f t="shared" si="7"/>
        <v>0</v>
      </c>
      <c r="L257" s="41">
        <f>SUM(F257:K257)</f>
        <v>70464.12</v>
      </c>
      <c r="M257" s="8"/>
      <c r="N257" s="264"/>
    </row>
    <row r="258" spans="1:14" s="3" customFormat="1" ht="12.2" customHeight="1" thickTop="1" x14ac:dyDescent="0.15">
      <c r="A258" s="38" t="s">
        <v>462</v>
      </c>
      <c r="B258" s="40">
        <v>10</v>
      </c>
      <c r="C258" s="40">
        <v>8</v>
      </c>
      <c r="D258" s="39" t="s">
        <v>431</v>
      </c>
      <c r="E258" s="40"/>
      <c r="F258" s="41">
        <f t="shared" ref="F258:L258" si="8">F212+F230+F248+F257</f>
        <v>40111806.389999993</v>
      </c>
      <c r="G258" s="41">
        <f t="shared" si="8"/>
        <v>22830221.510000002</v>
      </c>
      <c r="H258" s="41">
        <f t="shared" si="8"/>
        <v>9629908.3900000006</v>
      </c>
      <c r="I258" s="41">
        <f t="shared" si="8"/>
        <v>2412635.66</v>
      </c>
      <c r="J258" s="41">
        <f t="shared" si="8"/>
        <v>858975.48</v>
      </c>
      <c r="K258" s="41">
        <f t="shared" si="8"/>
        <v>83823.320000000007</v>
      </c>
      <c r="L258" s="41">
        <f t="shared" si="8"/>
        <v>75927370.75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1620000</v>
      </c>
      <c r="L261" s="19">
        <f>SUM(F261:K261)</f>
        <v>1620000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131484.21+230205.29</f>
        <v>361689.5</v>
      </c>
      <c r="L262" s="19">
        <f>SUM(F262:K262)</f>
        <v>361689.5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88177.65</v>
      </c>
      <c r="L264" s="19">
        <f>SUM(F264:K264)</f>
        <v>88177.65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1000000</v>
      </c>
      <c r="L267" s="19">
        <f t="shared" si="9"/>
        <v>1000000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3069867.15</v>
      </c>
      <c r="L271" s="41">
        <f t="shared" si="9"/>
        <v>3069867.15</v>
      </c>
      <c r="M271" s="8"/>
      <c r="N271" s="264"/>
    </row>
    <row r="272" spans="1:14" s="34" customFormat="1" ht="12.2" customHeight="1" thickTop="1" x14ac:dyDescent="0.2">
      <c r="A272" s="43" t="s">
        <v>464</v>
      </c>
      <c r="B272" s="40">
        <v>10</v>
      </c>
      <c r="C272" s="40">
        <v>18</v>
      </c>
      <c r="D272" s="39" t="s">
        <v>431</v>
      </c>
      <c r="E272" s="40"/>
      <c r="F272" s="42">
        <f t="shared" ref="F272:L272" si="11">F258+F271</f>
        <v>40111806.389999993</v>
      </c>
      <c r="G272" s="42">
        <f t="shared" si="11"/>
        <v>22830221.510000002</v>
      </c>
      <c r="H272" s="42">
        <f t="shared" si="11"/>
        <v>9629908.3900000006</v>
      </c>
      <c r="I272" s="42">
        <f t="shared" si="11"/>
        <v>2412635.66</v>
      </c>
      <c r="J272" s="42">
        <f t="shared" si="11"/>
        <v>858975.48</v>
      </c>
      <c r="K272" s="42">
        <f t="shared" si="11"/>
        <v>3153690.4699999997</v>
      </c>
      <c r="L272" s="42">
        <f t="shared" si="11"/>
        <v>78997237.900000006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4334.96+72326.95+22297.34+179319.55</f>
        <v>278278.8</v>
      </c>
      <c r="G277" s="18">
        <f>1239.8+5340</f>
        <v>6579.8</v>
      </c>
      <c r="H277" s="18"/>
      <c r="I277" s="18">
        <f>77174.05+538.31+3832+3601.19+0.01</f>
        <v>85145.56</v>
      </c>
      <c r="J277" s="18">
        <f>8820.25</f>
        <v>8820.25</v>
      </c>
      <c r="K277" s="18"/>
      <c r="L277" s="19">
        <f>SUM(F277:K277)</f>
        <v>378824.41</v>
      </c>
      <c r="M277" s="8"/>
      <c r="N277" s="264"/>
    </row>
    <row r="278" spans="1:14" s="3" customFormat="1" ht="12.2" customHeight="1" x14ac:dyDescent="0.15">
      <c r="A278" s="1" t="s">
        <v>439</v>
      </c>
      <c r="B278" s="2" t="s">
        <v>357</v>
      </c>
      <c r="C278" s="2" t="s">
        <v>291</v>
      </c>
      <c r="D278" s="2" t="s">
        <v>431</v>
      </c>
      <c r="E278" s="6">
        <v>1200</v>
      </c>
      <c r="F278" s="18">
        <f>27146.54+46717.29+104140.63+38781.41+68675.77+5241.74+1732.18+117565.14+39817.83+48165.79</f>
        <v>497984.32</v>
      </c>
      <c r="G278" s="18"/>
      <c r="H278" s="18">
        <f>6020.37+5017.96</f>
        <v>11038.33</v>
      </c>
      <c r="I278" s="18"/>
      <c r="J278" s="18">
        <f>10315.68</f>
        <v>10315.68</v>
      </c>
      <c r="K278" s="18"/>
      <c r="L278" s="19">
        <f>SUM(F278:K278)</f>
        <v>519338.33</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3744+5337+7690+4314+10140+3912+7867.5</f>
        <v>43004.5</v>
      </c>
      <c r="G280" s="18"/>
      <c r="H280" s="18"/>
      <c r="I280" s="18">
        <f>8751.82</f>
        <v>8751.82</v>
      </c>
      <c r="J280" s="18"/>
      <c r="K280" s="18"/>
      <c r="L280" s="19">
        <f>SUM(F280:K280)</f>
        <v>51756.32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17509.95+17474.06+31004.01+78826.48</f>
        <v>144814.5</v>
      </c>
      <c r="G282" s="18"/>
      <c r="H282" s="18">
        <f>11381.34</f>
        <v>11381.34</v>
      </c>
      <c r="I282" s="18">
        <f>63459.06</f>
        <v>63459.06</v>
      </c>
      <c r="J282" s="18"/>
      <c r="K282" s="18"/>
      <c r="L282" s="19">
        <f t="shared" ref="L282:L288" si="12">SUM(F282:K282)</f>
        <v>219654.9</v>
      </c>
      <c r="M282" s="8"/>
      <c r="N282" s="264"/>
    </row>
    <row r="283" spans="1:14" s="3" customFormat="1" ht="12.2" customHeight="1" x14ac:dyDescent="0.15">
      <c r="A283" s="1" t="s">
        <v>443</v>
      </c>
      <c r="B283" s="2" t="s">
        <v>357</v>
      </c>
      <c r="C283" s="2" t="s">
        <v>295</v>
      </c>
      <c r="D283" s="2" t="s">
        <v>431</v>
      </c>
      <c r="E283" s="6">
        <v>2200</v>
      </c>
      <c r="F283" s="18"/>
      <c r="G283" s="18"/>
      <c r="H283" s="18">
        <f>149.85</f>
        <v>149.85</v>
      </c>
      <c r="I283" s="18">
        <f>27419</f>
        <v>27419</v>
      </c>
      <c r="J283" s="18">
        <f>4100.73</f>
        <v>4100.7299999999996</v>
      </c>
      <c r="K283" s="18"/>
      <c r="L283" s="19">
        <f t="shared" si="12"/>
        <v>31669.579999999998</v>
      </c>
      <c r="M283" s="8"/>
      <c r="N283" s="264"/>
    </row>
    <row r="284" spans="1:14" s="3" customFormat="1" ht="12.2" customHeight="1" x14ac:dyDescent="0.15">
      <c r="A284" s="1" t="s">
        <v>444</v>
      </c>
      <c r="B284" s="2" t="s">
        <v>357</v>
      </c>
      <c r="C284" s="2" t="s">
        <v>296</v>
      </c>
      <c r="D284" s="2" t="s">
        <v>431</v>
      </c>
      <c r="E284" s="6">
        <v>2300</v>
      </c>
      <c r="F284" s="18"/>
      <c r="G284" s="18"/>
      <c r="H284" s="18">
        <f>25873.32</f>
        <v>25873.32</v>
      </c>
      <c r="I284" s="18"/>
      <c r="J284" s="18"/>
      <c r="K284" s="18"/>
      <c r="L284" s="19">
        <f t="shared" si="12"/>
        <v>25873.32</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f>100736</f>
        <v>100736</v>
      </c>
      <c r="I287" s="18">
        <f>54661.26</f>
        <v>54661.26</v>
      </c>
      <c r="J287" s="18">
        <f>124951.24</f>
        <v>124951.24</v>
      </c>
      <c r="K287" s="18"/>
      <c r="L287" s="19">
        <f t="shared" si="12"/>
        <v>280348.5</v>
      </c>
      <c r="M287" s="8"/>
      <c r="N287" s="264"/>
    </row>
    <row r="288" spans="1:14" s="3" customFormat="1" ht="12.2" customHeight="1" x14ac:dyDescent="0.15">
      <c r="A288" s="1" t="s">
        <v>448</v>
      </c>
      <c r="B288" s="2" t="s">
        <v>357</v>
      </c>
      <c r="C288" s="2" t="s">
        <v>300</v>
      </c>
      <c r="D288" s="2" t="s">
        <v>431</v>
      </c>
      <c r="E288" s="6">
        <v>2700</v>
      </c>
      <c r="F288" s="18"/>
      <c r="G288" s="18"/>
      <c r="H288" s="18">
        <f>3695.27</f>
        <v>3695.27</v>
      </c>
      <c r="I288" s="18"/>
      <c r="J288" s="18"/>
      <c r="K288" s="18"/>
      <c r="L288" s="19">
        <f t="shared" si="12"/>
        <v>3695.27</v>
      </c>
      <c r="M288" s="8"/>
      <c r="N288" s="264"/>
    </row>
    <row r="289" spans="1:14" s="3" customFormat="1" ht="12.2" customHeight="1" x14ac:dyDescent="0.15">
      <c r="A289" s="1" t="s">
        <v>449</v>
      </c>
      <c r="B289" s="2" t="s">
        <v>357</v>
      </c>
      <c r="C289" s="2" t="s">
        <v>343</v>
      </c>
      <c r="D289" s="2" t="s">
        <v>431</v>
      </c>
      <c r="E289" s="6">
        <v>2800</v>
      </c>
      <c r="F289" s="18"/>
      <c r="G289" s="18"/>
      <c r="H289" s="18"/>
      <c r="I289" s="18"/>
      <c r="J289" s="18">
        <f>108373.39</f>
        <v>108373.39</v>
      </c>
      <c r="K289" s="18"/>
      <c r="L289" s="19">
        <f>SUM(F289:K289)</f>
        <v>108373.39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964082.12</v>
      </c>
      <c r="G291" s="42">
        <f t="shared" si="13"/>
        <v>6579.8</v>
      </c>
      <c r="H291" s="42">
        <f t="shared" si="13"/>
        <v>152874.10999999999</v>
      </c>
      <c r="I291" s="42">
        <f t="shared" si="13"/>
        <v>239436.7</v>
      </c>
      <c r="J291" s="42">
        <f t="shared" si="13"/>
        <v>256561.28999999998</v>
      </c>
      <c r="K291" s="42">
        <f t="shared" si="13"/>
        <v>0</v>
      </c>
      <c r="L291" s="41">
        <f t="shared" si="13"/>
        <v>1619534.02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f>1049.95+38516+950+6992.03+2670+627.66-0.01</f>
        <v>50805.63</v>
      </c>
      <c r="J296" s="18">
        <f>3206.99</f>
        <v>3206.99</v>
      </c>
      <c r="K296" s="18"/>
      <c r="L296" s="19">
        <f>SUM(F296:K296)</f>
        <v>54012.619999999995</v>
      </c>
      <c r="M296" s="8"/>
      <c r="N296" s="264"/>
    </row>
    <row r="297" spans="1:14" s="3" customFormat="1" ht="12.2" customHeight="1" x14ac:dyDescent="0.15">
      <c r="A297" s="1" t="s">
        <v>439</v>
      </c>
      <c r="B297" s="2" t="s">
        <v>358</v>
      </c>
      <c r="C297" s="2" t="s">
        <v>291</v>
      </c>
      <c r="D297" s="2" t="s">
        <v>431</v>
      </c>
      <c r="E297" s="6">
        <v>1200</v>
      </c>
      <c r="F297" s="18">
        <f>96723.63+13104.45+23264.27</f>
        <v>133092.35</v>
      </c>
      <c r="G297" s="18"/>
      <c r="H297" s="18"/>
      <c r="I297" s="18"/>
      <c r="J297" s="18"/>
      <c r="K297" s="18"/>
      <c r="L297" s="19">
        <f>SUM(F297:K297)</f>
        <v>133092.35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f>16718+10115</f>
        <v>26833</v>
      </c>
      <c r="G299" s="18"/>
      <c r="H299" s="18"/>
      <c r="I299" s="18">
        <f>5251.09</f>
        <v>5251.09</v>
      </c>
      <c r="J299" s="18"/>
      <c r="K299" s="18"/>
      <c r="L299" s="19">
        <f>SUM(F299:K299)</f>
        <v>32084.09</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19821.36+15422.64</f>
        <v>35244</v>
      </c>
      <c r="G301" s="18"/>
      <c r="H301" s="18"/>
      <c r="I301" s="18">
        <f>32467.43</f>
        <v>32467.43</v>
      </c>
      <c r="J301" s="18"/>
      <c r="K301" s="18"/>
      <c r="L301" s="19">
        <f t="shared" ref="L301:L307" si="14">SUM(F301:K301)</f>
        <v>67711.429999999993</v>
      </c>
      <c r="M301" s="8"/>
      <c r="N301" s="264"/>
    </row>
    <row r="302" spans="1:14" s="3" customFormat="1" ht="12.2" customHeight="1" x14ac:dyDescent="0.15">
      <c r="A302" s="1" t="s">
        <v>443</v>
      </c>
      <c r="B302" s="2" t="s">
        <v>358</v>
      </c>
      <c r="C302" s="2" t="s">
        <v>295</v>
      </c>
      <c r="D302" s="2" t="s">
        <v>431</v>
      </c>
      <c r="E302" s="6">
        <v>2200</v>
      </c>
      <c r="F302" s="18"/>
      <c r="G302" s="18"/>
      <c r="H302" s="18">
        <f>5000</f>
        <v>5000</v>
      </c>
      <c r="I302" s="18">
        <f>14028.32</f>
        <v>14028.32</v>
      </c>
      <c r="J302" s="18">
        <f>2098.05</f>
        <v>2098.0500000000002</v>
      </c>
      <c r="K302" s="18"/>
      <c r="L302" s="19">
        <f t="shared" si="14"/>
        <v>21126.37</v>
      </c>
      <c r="M302" s="8"/>
      <c r="N302" s="264"/>
    </row>
    <row r="303" spans="1:14" s="3" customFormat="1" ht="12.2" customHeight="1" x14ac:dyDescent="0.15">
      <c r="A303" s="1" t="s">
        <v>444</v>
      </c>
      <c r="B303" s="2" t="s">
        <v>358</v>
      </c>
      <c r="C303" s="2" t="s">
        <v>296</v>
      </c>
      <c r="D303" s="2" t="s">
        <v>431</v>
      </c>
      <c r="E303" s="6">
        <v>2300</v>
      </c>
      <c r="F303" s="18"/>
      <c r="G303" s="18"/>
      <c r="H303" s="18">
        <f>13237.51</f>
        <v>13237.51</v>
      </c>
      <c r="I303" s="18"/>
      <c r="J303" s="18"/>
      <c r="K303" s="18"/>
      <c r="L303" s="19">
        <f t="shared" si="14"/>
        <v>13237.51</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f>27966.23</f>
        <v>27966.23</v>
      </c>
      <c r="J306" s="18">
        <f>63928.54</f>
        <v>63928.54</v>
      </c>
      <c r="K306" s="18"/>
      <c r="L306" s="19">
        <f t="shared" si="14"/>
        <v>91894.77</v>
      </c>
      <c r="M306" s="8"/>
      <c r="N306" s="264"/>
    </row>
    <row r="307" spans="1:14" s="3" customFormat="1" ht="12.2" customHeight="1" x14ac:dyDescent="0.15">
      <c r="A307" s="1" t="s">
        <v>448</v>
      </c>
      <c r="B307" s="2" t="s">
        <v>358</v>
      </c>
      <c r="C307" s="2" t="s">
        <v>300</v>
      </c>
      <c r="D307" s="2" t="s">
        <v>431</v>
      </c>
      <c r="E307" s="6">
        <v>2700</v>
      </c>
      <c r="F307" s="18"/>
      <c r="G307" s="18"/>
      <c r="H307" s="18">
        <f>2217.16</f>
        <v>2217.16</v>
      </c>
      <c r="I307" s="18"/>
      <c r="J307" s="18"/>
      <c r="K307" s="18"/>
      <c r="L307" s="19">
        <f t="shared" si="14"/>
        <v>2217.16</v>
      </c>
      <c r="M307" s="8"/>
      <c r="N307" s="264"/>
    </row>
    <row r="308" spans="1:14" s="3" customFormat="1" ht="12.2" customHeight="1" x14ac:dyDescent="0.15">
      <c r="A308" s="1" t="s">
        <v>449</v>
      </c>
      <c r="B308" s="2" t="s">
        <v>358</v>
      </c>
      <c r="C308" s="2" t="s">
        <v>343</v>
      </c>
      <c r="D308" s="2" t="s">
        <v>431</v>
      </c>
      <c r="E308" s="6">
        <v>2800</v>
      </c>
      <c r="F308" s="18"/>
      <c r="G308" s="18"/>
      <c r="H308" s="18"/>
      <c r="I308" s="18"/>
      <c r="J308" s="18">
        <f>34339.68</f>
        <v>34339.68</v>
      </c>
      <c r="K308" s="18"/>
      <c r="L308" s="19">
        <f>SUM(F308:K308)</f>
        <v>34339.68</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195169.35</v>
      </c>
      <c r="G310" s="42">
        <f t="shared" si="15"/>
        <v>0</v>
      </c>
      <c r="H310" s="42">
        <f t="shared" si="15"/>
        <v>20454.670000000002</v>
      </c>
      <c r="I310" s="42">
        <f t="shared" si="15"/>
        <v>130518.7</v>
      </c>
      <c r="J310" s="42">
        <f t="shared" si="15"/>
        <v>103573.26000000001</v>
      </c>
      <c r="K310" s="42">
        <f t="shared" si="15"/>
        <v>0</v>
      </c>
      <c r="L310" s="41">
        <f t="shared" si="15"/>
        <v>449715.98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15000+5000+15000+59811.57+38489+8832.93</f>
        <v>142133.5</v>
      </c>
      <c r="G315" s="18">
        <f>1055.2+382.5+890</f>
        <v>2327.6999999999998</v>
      </c>
      <c r="H315" s="18"/>
      <c r="I315" s="18">
        <f>3720.78+998.55</f>
        <v>4719.33</v>
      </c>
      <c r="J315" s="18">
        <f>30823.52</f>
        <v>30823.52</v>
      </c>
      <c r="K315" s="18"/>
      <c r="L315" s="19">
        <f>SUM(F315:K315)</f>
        <v>180004.05</v>
      </c>
      <c r="M315" s="8"/>
      <c r="N315" s="264"/>
    </row>
    <row r="316" spans="1:14" s="3" customFormat="1" ht="12.2" customHeight="1" x14ac:dyDescent="0.15">
      <c r="A316" s="1" t="s">
        <v>439</v>
      </c>
      <c r="B316" s="2" t="s">
        <v>359</v>
      </c>
      <c r="C316" s="2" t="s">
        <v>291</v>
      </c>
      <c r="D316" s="2" t="s">
        <v>431</v>
      </c>
      <c r="E316" s="6">
        <v>1200</v>
      </c>
      <c r="F316" s="18">
        <f>378805.69+10525.11+13478.92</f>
        <v>402809.72</v>
      </c>
      <c r="G316" s="18"/>
      <c r="H316" s="18">
        <f>7392.85+12283.15</f>
        <v>19676</v>
      </c>
      <c r="I316" s="18"/>
      <c r="J316" s="18"/>
      <c r="K316" s="18"/>
      <c r="L316" s="19">
        <f>SUM(F316:K316)</f>
        <v>422485.72</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f>1500+14032</f>
        <v>15532</v>
      </c>
      <c r="G318" s="18"/>
      <c r="H318" s="18"/>
      <c r="I318" s="18">
        <f>3150+3500.73</f>
        <v>6650.73</v>
      </c>
      <c r="J318" s="18"/>
      <c r="K318" s="18"/>
      <c r="L318" s="19">
        <f>SUM(F318:K318)</f>
        <v>22182.73</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2944</f>
        <v>2944</v>
      </c>
      <c r="G320" s="18"/>
      <c r="H320" s="18"/>
      <c r="I320" s="18">
        <f>51652.73</f>
        <v>51652.73</v>
      </c>
      <c r="J320" s="18"/>
      <c r="K320" s="18"/>
      <c r="L320" s="19">
        <f t="shared" ref="L320:L326" si="16">SUM(F320:K320)</f>
        <v>54596.73</v>
      </c>
      <c r="M320" s="8"/>
      <c r="N320" s="264"/>
    </row>
    <row r="321" spans="1:14" s="3" customFormat="1" ht="12.2" customHeight="1" x14ac:dyDescent="0.15">
      <c r="A321" s="1" t="s">
        <v>443</v>
      </c>
      <c r="B321" s="2" t="s">
        <v>359</v>
      </c>
      <c r="C321" s="2" t="s">
        <v>295</v>
      </c>
      <c r="D321" s="2" t="s">
        <v>431</v>
      </c>
      <c r="E321" s="6">
        <v>2200</v>
      </c>
      <c r="F321" s="18">
        <f>12808.93</f>
        <v>12808.93</v>
      </c>
      <c r="G321" s="18"/>
      <c r="H321" s="18"/>
      <c r="I321" s="18">
        <f>22317.79</f>
        <v>22317.79</v>
      </c>
      <c r="J321" s="18">
        <f>3337.8</f>
        <v>3337.8</v>
      </c>
      <c r="K321" s="18"/>
      <c r="L321" s="19">
        <f t="shared" si="16"/>
        <v>38464.520000000004</v>
      </c>
      <c r="M321" s="8"/>
      <c r="N321" s="264"/>
    </row>
    <row r="322" spans="1:14" s="3" customFormat="1" ht="12.2" customHeight="1" x14ac:dyDescent="0.15">
      <c r="A322" s="1" t="s">
        <v>444</v>
      </c>
      <c r="B322" s="2" t="s">
        <v>359</v>
      </c>
      <c r="C322" s="2" t="s">
        <v>296</v>
      </c>
      <c r="D322" s="2" t="s">
        <v>431</v>
      </c>
      <c r="E322" s="6">
        <v>2300</v>
      </c>
      <c r="F322" s="18"/>
      <c r="G322" s="18"/>
      <c r="H322" s="18">
        <f>21059.67</f>
        <v>21059.67</v>
      </c>
      <c r="I322" s="18"/>
      <c r="J322" s="18"/>
      <c r="K322" s="18"/>
      <c r="L322" s="19">
        <f t="shared" si="16"/>
        <v>21059.67</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f>4325.44</f>
        <v>4325.4399999999996</v>
      </c>
      <c r="G325" s="18"/>
      <c r="H325" s="18"/>
      <c r="I325" s="18">
        <f>44491.73</f>
        <v>44491.73</v>
      </c>
      <c r="J325" s="18">
        <f>101704.49</f>
        <v>101704.49</v>
      </c>
      <c r="K325" s="18"/>
      <c r="L325" s="19">
        <f t="shared" si="16"/>
        <v>150521.66</v>
      </c>
      <c r="M325" s="8"/>
      <c r="N325" s="264"/>
    </row>
    <row r="326" spans="1:14" s="3" customFormat="1" ht="12.2" customHeight="1" x14ac:dyDescent="0.15">
      <c r="A326" s="1" t="s">
        <v>448</v>
      </c>
      <c r="B326" s="2" t="s">
        <v>359</v>
      </c>
      <c r="C326" s="2" t="s">
        <v>300</v>
      </c>
      <c r="D326" s="2" t="s">
        <v>431</v>
      </c>
      <c r="E326" s="6">
        <v>2700</v>
      </c>
      <c r="F326" s="18"/>
      <c r="G326" s="18"/>
      <c r="H326" s="18">
        <f>1478.11</f>
        <v>1478.11</v>
      </c>
      <c r="I326" s="18"/>
      <c r="J326" s="18"/>
      <c r="K326" s="18"/>
      <c r="L326" s="19">
        <f t="shared" si="16"/>
        <v>1478.11</v>
      </c>
      <c r="M326" s="8"/>
      <c r="N326" s="264"/>
    </row>
    <row r="327" spans="1:14" s="3" customFormat="1" ht="12.2" customHeight="1" x14ac:dyDescent="0.15">
      <c r="A327" s="1" t="s">
        <v>449</v>
      </c>
      <c r="B327" s="2" t="s">
        <v>359</v>
      </c>
      <c r="C327" s="2" t="s">
        <v>343</v>
      </c>
      <c r="D327" s="2" t="s">
        <v>431</v>
      </c>
      <c r="E327" s="6">
        <v>2800</v>
      </c>
      <c r="F327" s="18"/>
      <c r="G327" s="18"/>
      <c r="H327" s="18"/>
      <c r="I327" s="18"/>
      <c r="J327" s="18">
        <f>88568.97</f>
        <v>88568.97</v>
      </c>
      <c r="K327" s="18"/>
      <c r="L327" s="19">
        <f>SUM(F327:K327)</f>
        <v>88568.97</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580553.59</v>
      </c>
      <c r="G329" s="42">
        <f t="shared" si="17"/>
        <v>2327.6999999999998</v>
      </c>
      <c r="H329" s="42">
        <f t="shared" si="17"/>
        <v>42213.78</v>
      </c>
      <c r="I329" s="42">
        <f t="shared" si="17"/>
        <v>129832.31</v>
      </c>
      <c r="J329" s="42">
        <f t="shared" si="17"/>
        <v>224434.78</v>
      </c>
      <c r="K329" s="42">
        <f t="shared" si="17"/>
        <v>0</v>
      </c>
      <c r="L329" s="41">
        <f t="shared" si="17"/>
        <v>979362.16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f>15024</f>
        <v>15024</v>
      </c>
      <c r="G334" s="18">
        <f>1374.62+3198.37</f>
        <v>4572.99</v>
      </c>
      <c r="H334" s="18">
        <f>1639</f>
        <v>1639</v>
      </c>
      <c r="I334" s="18">
        <f>2972.31+2953.91-0.03</f>
        <v>5926.19</v>
      </c>
      <c r="J334" s="18">
        <f>4653.47</f>
        <v>4653.47</v>
      </c>
      <c r="K334" s="18"/>
      <c r="L334" s="19">
        <f t="shared" si="18"/>
        <v>31815.649999999998</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15024</v>
      </c>
      <c r="G338" s="41">
        <f t="shared" si="19"/>
        <v>4572.99</v>
      </c>
      <c r="H338" s="41">
        <f t="shared" si="19"/>
        <v>1639</v>
      </c>
      <c r="I338" s="41">
        <f t="shared" si="19"/>
        <v>5926.19</v>
      </c>
      <c r="J338" s="41">
        <f t="shared" si="19"/>
        <v>4653.47</v>
      </c>
      <c r="K338" s="41">
        <f t="shared" si="19"/>
        <v>0</v>
      </c>
      <c r="L338" s="41">
        <f t="shared" si="18"/>
        <v>31815.649999999998</v>
      </c>
      <c r="M338" s="8"/>
      <c r="N338" s="264"/>
    </row>
    <row r="339" spans="1:43" s="3" customFormat="1" ht="12.2" customHeight="1" thickTop="1" x14ac:dyDescent="0.15">
      <c r="A339" s="38" t="s">
        <v>468</v>
      </c>
      <c r="B339" s="40">
        <v>14</v>
      </c>
      <c r="C339" s="40">
        <v>7</v>
      </c>
      <c r="D339" s="39" t="s">
        <v>431</v>
      </c>
      <c r="E339" s="40"/>
      <c r="F339" s="41">
        <f t="shared" ref="F339:L339" si="20">F291+F310+F329+F338</f>
        <v>1754829.06</v>
      </c>
      <c r="G339" s="41">
        <f t="shared" si="20"/>
        <v>13480.49</v>
      </c>
      <c r="H339" s="41">
        <f t="shared" si="20"/>
        <v>217181.56</v>
      </c>
      <c r="I339" s="41">
        <f t="shared" si="20"/>
        <v>505713.9</v>
      </c>
      <c r="J339" s="41">
        <f t="shared" si="20"/>
        <v>589222.79999999993</v>
      </c>
      <c r="K339" s="41">
        <f t="shared" si="20"/>
        <v>0</v>
      </c>
      <c r="L339" s="41">
        <f t="shared" si="20"/>
        <v>3080427.81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39754.58</v>
      </c>
      <c r="L346" s="19">
        <f t="shared" si="21"/>
        <v>39754.58</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39754.58</v>
      </c>
      <c r="L352" s="41">
        <f>SUM(L342:L351)</f>
        <v>39754.58</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1754829.06</v>
      </c>
      <c r="G353" s="41">
        <f>G339</f>
        <v>13480.49</v>
      </c>
      <c r="H353" s="41">
        <f>H339</f>
        <v>217181.56</v>
      </c>
      <c r="I353" s="41">
        <f>I339</f>
        <v>505713.9</v>
      </c>
      <c r="J353" s="41">
        <f>J339</f>
        <v>589222.79999999993</v>
      </c>
      <c r="K353" s="47">
        <f>K339+K352</f>
        <v>39754.58</v>
      </c>
      <c r="L353" s="41">
        <f>L339+L352</f>
        <v>3120182.39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161319.27+(134247*0.43)</f>
        <v>219045.47999999998</v>
      </c>
      <c r="G359" s="18">
        <f>(42291.09*0.41)</f>
        <v>17339.346899999997</v>
      </c>
      <c r="H359" s="18">
        <f>26830.33*0.43</f>
        <v>11537.0419</v>
      </c>
      <c r="I359" s="18">
        <f>(615795.38*0.43)+17094.47</f>
        <v>281886.48340000003</v>
      </c>
      <c r="J359" s="18">
        <f>31496+(399.9*0.43)+(6125.64*0.43)</f>
        <v>34301.982199999999</v>
      </c>
      <c r="K359" s="18">
        <f>(3064.72*0.43)+2129.7</f>
        <v>3447.5295999999998</v>
      </c>
      <c r="L359" s="13">
        <f>SUM(F359:K359)</f>
        <v>567557.86400000006</v>
      </c>
      <c r="M359" s="8"/>
      <c r="N359" s="264"/>
    </row>
    <row r="360" spans="1:22" s="3" customFormat="1" ht="12.2" customHeight="1" x14ac:dyDescent="0.15">
      <c r="A360" s="1" t="s">
        <v>542</v>
      </c>
      <c r="B360" s="2" t="s">
        <v>366</v>
      </c>
      <c r="C360" s="6">
        <v>2</v>
      </c>
      <c r="D360" s="2" t="s">
        <v>431</v>
      </c>
      <c r="E360" s="6"/>
      <c r="F360" s="18">
        <f>120095.66+(134247*0.22)</f>
        <v>149630</v>
      </c>
      <c r="G360" s="18">
        <f>(18068.16*0.2)+(42291.09*0.28)</f>
        <v>15455.137199999999</v>
      </c>
      <c r="H360" s="18">
        <f>26830.33*0.22</f>
        <v>5902.6726000000008</v>
      </c>
      <c r="I360" s="18">
        <f>(615795.38*0.22)+8746.01</f>
        <v>144220.99360000002</v>
      </c>
      <c r="J360" s="18">
        <f>(6125.64*0.22)+(399.9*0.22)</f>
        <v>1435.6188000000002</v>
      </c>
      <c r="K360" s="18">
        <f>(3064.72*0.22)+5249.58</f>
        <v>5923.8184000000001</v>
      </c>
      <c r="L360" s="19">
        <f>SUM(F360:K360)</f>
        <v>322568.24059999996</v>
      </c>
      <c r="M360" s="8"/>
      <c r="N360" s="264"/>
    </row>
    <row r="361" spans="1:22" s="3" customFormat="1" ht="12.2" customHeight="1" x14ac:dyDescent="0.15">
      <c r="A361" s="3" t="s">
        <v>543</v>
      </c>
      <c r="B361" s="2" t="s">
        <v>366</v>
      </c>
      <c r="C361" s="6">
        <v>3</v>
      </c>
      <c r="D361" s="2" t="s">
        <v>431</v>
      </c>
      <c r="E361" s="6"/>
      <c r="F361" s="18">
        <f>118147.63+(134247*0.35)</f>
        <v>165134.08000000002</v>
      </c>
      <c r="G361" s="18">
        <f>35487.72+(18068.16*0.8)+(42291.09*0.31)</f>
        <v>63052.4859</v>
      </c>
      <c r="H361" s="18">
        <f>26830.33*0.35</f>
        <v>9390.6154999999999</v>
      </c>
      <c r="I361" s="18">
        <f>(615795.38*0.35)+13914.1</f>
        <v>229442.48300000001</v>
      </c>
      <c r="J361" s="18">
        <f>16828.99+(6125.64*0.35)+(399.9*0.35)</f>
        <v>19112.929</v>
      </c>
      <c r="K361" s="18">
        <f>(3064.72*0.35)+13893.85</f>
        <v>14966.502</v>
      </c>
      <c r="L361" s="19">
        <f>SUM(F361:K361)</f>
        <v>501099.09539999999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533809.56000000006</v>
      </c>
      <c r="G363" s="47">
        <f t="shared" si="22"/>
        <v>95846.97</v>
      </c>
      <c r="H363" s="47">
        <f t="shared" si="22"/>
        <v>26830.33</v>
      </c>
      <c r="I363" s="47">
        <f t="shared" si="22"/>
        <v>655549.96000000008</v>
      </c>
      <c r="J363" s="47">
        <f t="shared" si="22"/>
        <v>54850.53</v>
      </c>
      <c r="K363" s="47">
        <f t="shared" si="22"/>
        <v>24337.85</v>
      </c>
      <c r="L363" s="47">
        <f t="shared" si="22"/>
        <v>1391225.2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227080.97</v>
      </c>
      <c r="G368" s="18">
        <v>116180.96</v>
      </c>
      <c r="H368" s="18">
        <v>184833.36</v>
      </c>
      <c r="I368" s="56">
        <f>SUM(F368:H368)</f>
        <v>528095.29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37711.04+17094.47</f>
        <v>54805.51</v>
      </c>
      <c r="G369" s="63">
        <f>19294.02+8746.01</f>
        <v>28040.03</v>
      </c>
      <c r="H369" s="63">
        <f>30695.03+13914.1</f>
        <v>44609.13</v>
      </c>
      <c r="I369" s="56">
        <f>SUM(F369:H369)</f>
        <v>127454.67000000001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281886.48</v>
      </c>
      <c r="G370" s="47">
        <f>SUM(G368:G369)</f>
        <v>144220.99</v>
      </c>
      <c r="H370" s="47">
        <f>SUM(H368:H369)</f>
        <v>229442.49</v>
      </c>
      <c r="I370" s="47">
        <f>SUM(I368:I369)</f>
        <v>655549.96000000008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64.989999999999995</v>
      </c>
      <c r="I389" s="18"/>
      <c r="J389" s="24" t="s">
        <v>288</v>
      </c>
      <c r="K389" s="24" t="s">
        <v>288</v>
      </c>
      <c r="L389" s="56">
        <f t="shared" si="25"/>
        <v>64.989999999999995</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400000</v>
      </c>
      <c r="H393" s="18">
        <v>383.29</v>
      </c>
      <c r="I393" s="18"/>
      <c r="J393" s="24" t="s">
        <v>288</v>
      </c>
      <c r="K393" s="24" t="s">
        <v>288</v>
      </c>
      <c r="L393" s="56">
        <f t="shared" si="25"/>
        <v>400383.29</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400000</v>
      </c>
      <c r="H394" s="139">
        <f>SUM(H388:H393)</f>
        <v>448.28000000000003</v>
      </c>
      <c r="I394" s="65">
        <f>SUM(I388:I393)</f>
        <v>0</v>
      </c>
      <c r="J394" s="45" t="s">
        <v>288</v>
      </c>
      <c r="K394" s="45" t="s">
        <v>288</v>
      </c>
      <c r="L394" s="47">
        <f>SUM(L388:L393)</f>
        <v>400448.27999999997</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600000</v>
      </c>
      <c r="H397" s="18">
        <v>717.16</v>
      </c>
      <c r="I397" s="18"/>
      <c r="J397" s="24" t="s">
        <v>288</v>
      </c>
      <c r="K397" s="24" t="s">
        <v>288</v>
      </c>
      <c r="L397" s="56">
        <f t="shared" si="26"/>
        <v>600717.16</v>
      </c>
      <c r="M397" s="8"/>
      <c r="N397" s="264"/>
    </row>
    <row r="398" spans="1:14" s="3" customFormat="1" ht="12.2" customHeight="1" x14ac:dyDescent="0.15">
      <c r="A398" s="79" t="s">
        <v>515</v>
      </c>
      <c r="B398" s="2" t="s">
        <v>381</v>
      </c>
      <c r="C398" s="6">
        <v>10</v>
      </c>
      <c r="D398" s="2" t="s">
        <v>432</v>
      </c>
      <c r="E398" s="6"/>
      <c r="F398" s="18"/>
      <c r="G398" s="18"/>
      <c r="H398" s="18">
        <v>428.18</v>
      </c>
      <c r="I398" s="18"/>
      <c r="J398" s="24" t="s">
        <v>288</v>
      </c>
      <c r="K398" s="24" t="s">
        <v>288</v>
      </c>
      <c r="L398" s="56">
        <f t="shared" si="26"/>
        <v>428.18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600000</v>
      </c>
      <c r="H402" s="47">
        <f>SUM(H396:H401)</f>
        <v>1145.3399999999999</v>
      </c>
      <c r="I402" s="47">
        <f>SUM(I396:I401)</f>
        <v>0</v>
      </c>
      <c r="J402" s="45" t="s">
        <v>288</v>
      </c>
      <c r="K402" s="45" t="s">
        <v>288</v>
      </c>
      <c r="L402" s="47">
        <f>SUM(L396:L401)</f>
        <v>601145.34000000008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1000000</v>
      </c>
      <c r="H409" s="47">
        <f>H394+H402+H408</f>
        <v>1593.62</v>
      </c>
      <c r="I409" s="47">
        <f>I394+I402+I408</f>
        <v>0</v>
      </c>
      <c r="J409" s="24" t="s">
        <v>288</v>
      </c>
      <c r="K409" s="24" t="s">
        <v>288</v>
      </c>
      <c r="L409" s="47">
        <f>L394+L402+L408</f>
        <v>1001593.6200000001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v>356464.25</v>
      </c>
      <c r="L419" s="56">
        <f t="shared" si="27"/>
        <v>356464.25</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356464.25</v>
      </c>
      <c r="L420" s="47">
        <f t="shared" si="28"/>
        <v>356464.25</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381134.67</v>
      </c>
      <c r="L423" s="56">
        <f t="shared" si="29"/>
        <v>381134.67</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381134.67</v>
      </c>
      <c r="L428" s="47">
        <f t="shared" si="30"/>
        <v>381134.67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737598.91999999993</v>
      </c>
      <c r="L435" s="47">
        <f t="shared" si="32"/>
        <v>737598.91999999993</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101069.9</v>
      </c>
      <c r="G440" s="18">
        <v>500391.14</v>
      </c>
      <c r="H440" s="18"/>
      <c r="I440" s="56">
        <f t="shared" ref="I440:I446" si="33">SUM(F440:H440)</f>
        <v>601461.04</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101069.9</v>
      </c>
      <c r="G447" s="13">
        <f>SUM(G440:G446)</f>
        <v>500391.14</v>
      </c>
      <c r="H447" s="13">
        <f>SUM(H440:H446)</f>
        <v>0</v>
      </c>
      <c r="I447" s="13">
        <f>SUM(I440:I446)</f>
        <v>601461.04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44477.47</v>
      </c>
      <c r="H449" s="18"/>
      <c r="I449" s="56">
        <f>SUM(F449:H449)</f>
        <v>44477.47</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44477.47</v>
      </c>
      <c r="H453" s="72">
        <f>SUM(H449:H452)</f>
        <v>0</v>
      </c>
      <c r="I453" s="72">
        <f>SUM(I449:I452)</f>
        <v>44477.47</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101069.9</v>
      </c>
      <c r="G460" s="18">
        <v>455913.67</v>
      </c>
      <c r="H460" s="18"/>
      <c r="I460" s="56">
        <f t="shared" si="34"/>
        <v>556983.56999999995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101069.9</v>
      </c>
      <c r="G461" s="83">
        <f>SUM(G455:G460)</f>
        <v>455913.67</v>
      </c>
      <c r="H461" s="83">
        <f>SUM(H455:H460)</f>
        <v>0</v>
      </c>
      <c r="I461" s="83">
        <f>SUM(I455:I460)</f>
        <v>556983.56999999995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101069.9</v>
      </c>
      <c r="G462" s="42">
        <f>G453+G461</f>
        <v>500391.14</v>
      </c>
      <c r="H462" s="42">
        <f>H453+H461</f>
        <v>0</v>
      </c>
      <c r="I462" s="42">
        <f>I453+I461</f>
        <v>601461.03999999992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1835284.25</v>
      </c>
      <c r="G466" s="18">
        <v>93974.34</v>
      </c>
      <c r="H466" s="18">
        <v>23768.959999999999</v>
      </c>
      <c r="I466" s="18">
        <v>0</v>
      </c>
      <c r="J466" s="18">
        <v>292988.87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80135125.459999993</v>
      </c>
      <c r="G469" s="18">
        <f>1341857.1+39754.58</f>
        <v>1381611.6800000002</v>
      </c>
      <c r="H469" s="18">
        <v>3057075.75</v>
      </c>
      <c r="I469" s="18"/>
      <c r="J469" s="18">
        <v>1001593.62</v>
      </c>
      <c r="K469" s="24" t="s">
        <v>288</v>
      </c>
      <c r="L469" s="24" t="s">
        <v>288</v>
      </c>
      <c r="N469" s="263"/>
    </row>
    <row r="470" spans="1:14" s="52" customFormat="1" ht="12.2" customHeight="1" x14ac:dyDescent="0.2">
      <c r="A470" s="93" t="s">
        <v>611</v>
      </c>
      <c r="B470" s="75">
        <v>19</v>
      </c>
      <c r="C470" s="80">
        <v>3</v>
      </c>
      <c r="D470" s="2" t="s">
        <v>432</v>
      </c>
      <c r="E470" s="80"/>
      <c r="F470" s="18"/>
      <c r="G470" s="18"/>
      <c r="H470" s="18">
        <v>60170.5</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80135125.459999993</v>
      </c>
      <c r="G471" s="53">
        <f>SUM(G469:G470)</f>
        <v>1381611.6800000002</v>
      </c>
      <c r="H471" s="53">
        <f>SUM(H469:H470)</f>
        <v>3117246.25</v>
      </c>
      <c r="I471" s="53">
        <f>SUM(I469:I470)</f>
        <v>0</v>
      </c>
      <c r="J471" s="53">
        <f>SUM(J469:J470)</f>
        <v>1001593.62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78997237.900000006</v>
      </c>
      <c r="G473" s="18">
        <f>1351470.62+39754.58</f>
        <v>1391225.2000000002</v>
      </c>
      <c r="H473" s="18">
        <v>3120182.39</v>
      </c>
      <c r="I473" s="18"/>
      <c r="J473" s="18">
        <v>737598.92</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78997237.900000006</v>
      </c>
      <c r="G475" s="53">
        <f>SUM(G473:G474)</f>
        <v>1391225.2000000002</v>
      </c>
      <c r="H475" s="53">
        <f>SUM(H473:H474)</f>
        <v>3120182.39</v>
      </c>
      <c r="I475" s="53">
        <f>SUM(I473:I474)</f>
        <v>0</v>
      </c>
      <c r="J475" s="53">
        <f>SUM(J473:J474)</f>
        <v>737598.92</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2973171.8099999875</v>
      </c>
      <c r="G477" s="53">
        <f>(G466+G471)- G475</f>
        <v>84360.820000000065</v>
      </c>
      <c r="H477" s="53">
        <f>(H466+H471)- H475</f>
        <v>20832.819999999832</v>
      </c>
      <c r="I477" s="53">
        <f>(I466+I471)- I475</f>
        <v>0</v>
      </c>
      <c r="J477" s="53">
        <f>(J466+J471)- J475</f>
        <v>556983.56999999995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1674</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5"/>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10</v>
      </c>
      <c r="H491" s="154">
        <v>12</v>
      </c>
      <c r="I491" s="154">
        <v>10</v>
      </c>
      <c r="J491" s="154"/>
      <c r="K491" s="24" t="s">
        <v>288</v>
      </c>
      <c r="L491" s="24" t="s">
        <v>288</v>
      </c>
      <c r="N491" s="263"/>
    </row>
    <row r="492" spans="1:14" s="52" customFormat="1" ht="12.2" customHeight="1" x14ac:dyDescent="0.2">
      <c r="A492" s="22" t="s">
        <v>615</v>
      </c>
      <c r="B492" s="75">
        <v>20</v>
      </c>
      <c r="C492" s="115">
        <v>2</v>
      </c>
      <c r="D492" s="2" t="s">
        <v>432</v>
      </c>
      <c r="E492" s="115"/>
      <c r="F492" s="155" t="s">
        <v>1675</v>
      </c>
      <c r="G492" s="155" t="s">
        <v>1677</v>
      </c>
      <c r="H492" s="155" t="s">
        <v>1679</v>
      </c>
      <c r="I492" s="155" t="s">
        <v>1681</v>
      </c>
      <c r="J492" s="154"/>
      <c r="K492" s="24" t="s">
        <v>288</v>
      </c>
      <c r="L492" s="24" t="s">
        <v>288</v>
      </c>
      <c r="N492" s="263"/>
    </row>
    <row r="493" spans="1:14" s="52" customFormat="1" ht="12.2" customHeight="1" x14ac:dyDescent="0.2">
      <c r="A493" s="22" t="s">
        <v>616</v>
      </c>
      <c r="B493" s="75">
        <v>20</v>
      </c>
      <c r="C493" s="115">
        <v>3</v>
      </c>
      <c r="D493" s="2" t="s">
        <v>432</v>
      </c>
      <c r="E493" s="115"/>
      <c r="F493" s="155" t="s">
        <v>1676</v>
      </c>
      <c r="G493" s="155" t="s">
        <v>1678</v>
      </c>
      <c r="H493" s="155" t="s">
        <v>1680</v>
      </c>
      <c r="I493" s="155" t="s">
        <v>1682</v>
      </c>
      <c r="J493" s="154"/>
      <c r="K493" s="24" t="s">
        <v>288</v>
      </c>
      <c r="L493" s="24" t="s">
        <v>288</v>
      </c>
      <c r="N493" s="263"/>
    </row>
    <row r="494" spans="1:14" s="52" customFormat="1" ht="12.2" customHeight="1" x14ac:dyDescent="0.2">
      <c r="A494" s="22" t="s">
        <v>617</v>
      </c>
      <c r="B494" s="75">
        <v>20</v>
      </c>
      <c r="C494" s="115">
        <v>4</v>
      </c>
      <c r="D494" s="2" t="s">
        <v>432</v>
      </c>
      <c r="E494" s="115"/>
      <c r="F494" s="18">
        <v>12030000</v>
      </c>
      <c r="G494" s="18">
        <v>2720000</v>
      </c>
      <c r="H494" s="18">
        <v>2955000</v>
      </c>
      <c r="I494" s="18">
        <v>3895000</v>
      </c>
      <c r="J494" s="18"/>
      <c r="K494" s="24" t="s">
        <v>288</v>
      </c>
      <c r="L494" s="24" t="s">
        <v>288</v>
      </c>
      <c r="N494" s="263"/>
    </row>
    <row r="495" spans="1:14" s="52" customFormat="1" ht="12.2" customHeight="1" x14ac:dyDescent="0.2">
      <c r="A495" s="22" t="s">
        <v>618</v>
      </c>
      <c r="B495" s="75">
        <v>20</v>
      </c>
      <c r="C495" s="115">
        <v>5</v>
      </c>
      <c r="D495" s="2" t="s">
        <v>432</v>
      </c>
      <c r="E495" s="115"/>
      <c r="F495" s="18">
        <v>4.57</v>
      </c>
      <c r="G495" s="18">
        <v>2.69</v>
      </c>
      <c r="H495" s="18">
        <v>1.94</v>
      </c>
      <c r="I495" s="18">
        <v>2.14</v>
      </c>
      <c r="J495" s="18"/>
      <c r="K495" s="24" t="s">
        <v>288</v>
      </c>
      <c r="L495" s="24" t="s">
        <v>288</v>
      </c>
      <c r="N495" s="263"/>
    </row>
    <row r="496" spans="1:14" s="52" customFormat="1" ht="12.2" customHeight="1" x14ac:dyDescent="0.2">
      <c r="A496" s="22" t="s">
        <v>619</v>
      </c>
      <c r="B496" s="75">
        <v>20</v>
      </c>
      <c r="C496" s="115">
        <v>6</v>
      </c>
      <c r="D496" s="2" t="s">
        <v>432</v>
      </c>
      <c r="E496" s="115"/>
      <c r="F496" s="18">
        <v>1995000</v>
      </c>
      <c r="G496" s="18">
        <v>2370000</v>
      </c>
      <c r="H496" s="18">
        <v>1665000</v>
      </c>
      <c r="I496" s="18">
        <v>1945000</v>
      </c>
      <c r="J496" s="18"/>
      <c r="K496" s="53">
        <f>SUM(F496:J496)</f>
        <v>7975000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665000</v>
      </c>
      <c r="G498" s="18">
        <v>275000</v>
      </c>
      <c r="H498" s="18">
        <v>290000</v>
      </c>
      <c r="I498" s="18">
        <v>390000</v>
      </c>
      <c r="J498" s="18"/>
      <c r="K498" s="53">
        <f t="shared" si="35"/>
        <v>1620000</v>
      </c>
      <c r="L498" s="24" t="s">
        <v>288</v>
      </c>
      <c r="N498" s="263"/>
    </row>
    <row r="499" spans="1:14" s="52" customFormat="1" ht="12.2" customHeight="1" x14ac:dyDescent="0.2">
      <c r="A499" s="200" t="s">
        <v>622</v>
      </c>
      <c r="B499" s="201">
        <v>20</v>
      </c>
      <c r="C499" s="202">
        <v>9</v>
      </c>
      <c r="D499" s="203" t="s">
        <v>432</v>
      </c>
      <c r="E499" s="202"/>
      <c r="F499" s="204">
        <v>1330000</v>
      </c>
      <c r="G499" s="204">
        <v>2095000</v>
      </c>
      <c r="H499" s="204">
        <v>1375000</v>
      </c>
      <c r="I499" s="204">
        <v>1555000</v>
      </c>
      <c r="J499" s="204"/>
      <c r="K499" s="205">
        <f t="shared" si="35"/>
        <v>6355000</v>
      </c>
      <c r="L499" s="206" t="s">
        <v>288</v>
      </c>
      <c r="N499" s="263"/>
    </row>
    <row r="500" spans="1:14" s="52" customFormat="1" ht="12.2" customHeight="1" thickBot="1" x14ac:dyDescent="0.25">
      <c r="A500" s="22" t="s">
        <v>623</v>
      </c>
      <c r="B500" s="75">
        <v>20</v>
      </c>
      <c r="C500" s="115">
        <v>10</v>
      </c>
      <c r="D500" s="2" t="s">
        <v>432</v>
      </c>
      <c r="E500" s="115"/>
      <c r="F500" s="18">
        <v>66500</v>
      </c>
      <c r="G500" s="18">
        <v>221879.34</v>
      </c>
      <c r="H500" s="18">
        <v>79571.899999999994</v>
      </c>
      <c r="I500" s="18">
        <v>93075</v>
      </c>
      <c r="J500" s="18"/>
      <c r="K500" s="53">
        <f t="shared" si="35"/>
        <v>461026.24</v>
      </c>
      <c r="L500" s="24" t="s">
        <v>288</v>
      </c>
      <c r="N500" s="263"/>
    </row>
    <row r="501" spans="1:14" s="52" customFormat="1" ht="12.2" customHeight="1" thickTop="1" x14ac:dyDescent="0.2">
      <c r="A501" s="139" t="s">
        <v>624</v>
      </c>
      <c r="B501" s="44">
        <v>20</v>
      </c>
      <c r="C501" s="195">
        <v>11</v>
      </c>
      <c r="D501" s="39" t="s">
        <v>432</v>
      </c>
      <c r="E501" s="195"/>
      <c r="F501" s="42">
        <f>SUM(F499:F500)</f>
        <v>1396500</v>
      </c>
      <c r="G501" s="42">
        <f>SUM(G499:G500)</f>
        <v>2316879.34</v>
      </c>
      <c r="H501" s="42">
        <f>SUM(H499:H500)</f>
        <v>1454571.9</v>
      </c>
      <c r="I501" s="42">
        <f>SUM(I499:I500)</f>
        <v>1648075</v>
      </c>
      <c r="J501" s="42">
        <f>SUM(J499:J500)</f>
        <v>0</v>
      </c>
      <c r="K501" s="42">
        <f t="shared" si="35"/>
        <v>6816026.2400000002</v>
      </c>
      <c r="L501" s="45" t="s">
        <v>288</v>
      </c>
      <c r="N501" s="263"/>
    </row>
    <row r="502" spans="1:14" s="52" customFormat="1" ht="12.2" customHeight="1" x14ac:dyDescent="0.2">
      <c r="A502" s="200" t="s">
        <v>651</v>
      </c>
      <c r="B502" s="201">
        <v>20</v>
      </c>
      <c r="C502" s="202">
        <v>12</v>
      </c>
      <c r="D502" s="203" t="s">
        <v>432</v>
      </c>
      <c r="E502" s="202"/>
      <c r="F502" s="204">
        <v>665000</v>
      </c>
      <c r="G502" s="204">
        <v>270000</v>
      </c>
      <c r="H502" s="204">
        <v>285000</v>
      </c>
      <c r="I502" s="204">
        <v>390000</v>
      </c>
      <c r="J502" s="204"/>
      <c r="K502" s="205">
        <f t="shared" si="35"/>
        <v>1610000</v>
      </c>
      <c r="L502" s="206" t="s">
        <v>288</v>
      </c>
      <c r="N502" s="263"/>
    </row>
    <row r="503" spans="1:14" s="52" customFormat="1" ht="12.2" customHeight="1" thickBot="1" x14ac:dyDescent="0.25">
      <c r="A503" s="22" t="s">
        <v>625</v>
      </c>
      <c r="B503" s="75">
        <v>20</v>
      </c>
      <c r="C503" s="115">
        <v>13</v>
      </c>
      <c r="D503" s="2" t="s">
        <v>432</v>
      </c>
      <c r="E503" s="115"/>
      <c r="F503" s="18">
        <v>49875</v>
      </c>
      <c r="G503" s="18">
        <v>52631.58</v>
      </c>
      <c r="H503" s="18">
        <v>28565.63</v>
      </c>
      <c r="I503" s="18">
        <v>40800</v>
      </c>
      <c r="J503" s="18"/>
      <c r="K503" s="53">
        <f t="shared" si="35"/>
        <v>171872.21</v>
      </c>
      <c r="L503" s="24" t="s">
        <v>288</v>
      </c>
      <c r="N503" s="263"/>
    </row>
    <row r="504" spans="1:14" s="52" customFormat="1" ht="12.2" customHeight="1" thickTop="1" x14ac:dyDescent="0.2">
      <c r="A504" s="139" t="s">
        <v>626</v>
      </c>
      <c r="B504" s="44">
        <v>20</v>
      </c>
      <c r="C504" s="195">
        <v>14</v>
      </c>
      <c r="D504" s="39" t="s">
        <v>432</v>
      </c>
      <c r="E504" s="195"/>
      <c r="F504" s="42">
        <f>SUM(F502:F503)</f>
        <v>714875</v>
      </c>
      <c r="G504" s="42">
        <f>SUM(G502:G503)</f>
        <v>322631.58</v>
      </c>
      <c r="H504" s="42">
        <f>SUM(H502:H503)</f>
        <v>313565.63</v>
      </c>
      <c r="I504" s="42">
        <f>SUM(I502:I503)</f>
        <v>430800</v>
      </c>
      <c r="J504" s="42">
        <f>SUM(J502:J503)</f>
        <v>0</v>
      </c>
      <c r="K504" s="42">
        <f t="shared" si="35"/>
        <v>1781872.21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4089827</v>
      </c>
      <c r="G508" s="144">
        <v>658118</v>
      </c>
      <c r="H508" s="144">
        <v>1020998</v>
      </c>
      <c r="I508" s="144">
        <v>3726946</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177323.61+25593.7+120920.34+28602+127770.86+1044906.64+425264.66+696167.1+613580.37+548089.47+589186.12+36773.24+73863.83+211597.81+6973.92+205548.76</f>
        <v>4932162.43</v>
      </c>
      <c r="G522" s="18">
        <f>F522*0.5041</f>
        <v>2486303.0809629997</v>
      </c>
      <c r="H522" s="18">
        <f>11424.25+11038.33+286978.44</f>
        <v>309441.02</v>
      </c>
      <c r="I522" s="18">
        <f>3636.53+6311.63+2068.47+8191.64+4438.94+2309.31+1267.74+19.99-0.01</f>
        <v>28244.240000000005</v>
      </c>
      <c r="J522" s="18">
        <f>5678.6+109.95+79+32.99+10315.68</f>
        <v>16216.220000000001</v>
      </c>
      <c r="K522" s="18">
        <f>210+210+210+210</f>
        <v>840</v>
      </c>
      <c r="L522" s="88">
        <f>SUM(F522:K522)</f>
        <v>7773206.9909629999</v>
      </c>
      <c r="N522" s="263"/>
    </row>
    <row r="523" spans="1:14" s="52" customFormat="1" ht="12.2" customHeight="1" x14ac:dyDescent="0.2">
      <c r="A523" s="22" t="s">
        <v>634</v>
      </c>
      <c r="B523" s="105">
        <v>21</v>
      </c>
      <c r="C523" s="115">
        <v>2</v>
      </c>
      <c r="D523" s="2" t="s">
        <v>432</v>
      </c>
      <c r="E523" s="115"/>
      <c r="F523" s="18">
        <f>93601.26+138549.06+1268167.42+133092.35</f>
        <v>1633410.09</v>
      </c>
      <c r="G523" s="18">
        <f t="shared" ref="G523:G524" si="36">F523*0.5041</f>
        <v>823402.02636900009</v>
      </c>
      <c r="H523" s="18">
        <f>5844.97+637007.75</f>
        <v>642852.72</v>
      </c>
      <c r="I523" s="18">
        <f>1792.16+3157.59</f>
        <v>4949.75</v>
      </c>
      <c r="J523" s="18">
        <v>8418.69</v>
      </c>
      <c r="K523" s="18"/>
      <c r="L523" s="88">
        <f>SUM(F523:K523)</f>
        <v>3113033.2763690003</v>
      </c>
      <c r="N523" s="263"/>
    </row>
    <row r="524" spans="1:14" s="52" customFormat="1" ht="12.2" customHeight="1" thickBot="1" x14ac:dyDescent="0.25">
      <c r="A524" s="22" t="s">
        <v>635</v>
      </c>
      <c r="B524" s="105">
        <v>21</v>
      </c>
      <c r="C524" s="115">
        <v>3</v>
      </c>
      <c r="D524" s="2" t="s">
        <v>432</v>
      </c>
      <c r="E524" s="115"/>
      <c r="F524" s="18">
        <f>53960.71+108769.83+1461278.27+402809.72</f>
        <v>2026818.53</v>
      </c>
      <c r="G524" s="18">
        <f t="shared" si="36"/>
        <v>1021719.220973</v>
      </c>
      <c r="H524" s="18">
        <f>9298.81+19676+6485.64+876459.51</f>
        <v>911919.96</v>
      </c>
      <c r="I524" s="18">
        <f>3073.95+5880.86</f>
        <v>8954.81</v>
      </c>
      <c r="J524" s="18">
        <v>9456.14</v>
      </c>
      <c r="K524" s="18"/>
      <c r="L524" s="88">
        <f>SUM(F524:K524)</f>
        <v>3978868.6609730003</v>
      </c>
      <c r="N524" s="263"/>
    </row>
    <row r="525" spans="1:14" s="52" customFormat="1" ht="12.2" customHeight="1" thickTop="1" x14ac:dyDescent="0.2">
      <c r="A525" s="139" t="s">
        <v>63</v>
      </c>
      <c r="B525" s="107">
        <v>21</v>
      </c>
      <c r="C525" s="195">
        <v>4</v>
      </c>
      <c r="D525" s="196" t="s">
        <v>432</v>
      </c>
      <c r="E525" s="195"/>
      <c r="F525" s="108">
        <f>SUM(F522:F524)</f>
        <v>8592391.0499999989</v>
      </c>
      <c r="G525" s="108">
        <f t="shared" ref="G525:L525" si="37">SUM(G522:G524)</f>
        <v>4331424.3283049995</v>
      </c>
      <c r="H525" s="108">
        <f t="shared" si="37"/>
        <v>1864213.7</v>
      </c>
      <c r="I525" s="108">
        <f t="shared" si="37"/>
        <v>42148.800000000003</v>
      </c>
      <c r="J525" s="108">
        <f t="shared" si="37"/>
        <v>34091.050000000003</v>
      </c>
      <c r="K525" s="108">
        <f t="shared" si="37"/>
        <v>840</v>
      </c>
      <c r="L525" s="89">
        <f t="shared" si="37"/>
        <v>14865108.928305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794986.56+227225.14+136862.65+75006.04+140456.32+2605+17509.95+17474.06+31004.01</f>
        <v>1443129.7300000002</v>
      </c>
      <c r="G527" s="18">
        <f>F527*0.5041</f>
        <v>727481.69689300004</v>
      </c>
      <c r="H527" s="18">
        <f>165676.54+6148.36</f>
        <v>171824.9</v>
      </c>
      <c r="I527" s="18">
        <f>17881.67</f>
        <v>17881.669999999998</v>
      </c>
      <c r="J527" s="18"/>
      <c r="K527" s="18"/>
      <c r="L527" s="88">
        <f>SUM(F527:K527)</f>
        <v>2360317.9968930003</v>
      </c>
      <c r="M527" s="8"/>
      <c r="N527" s="264"/>
    </row>
    <row r="528" spans="1:14" s="3" customFormat="1" ht="12.2" customHeight="1" x14ac:dyDescent="0.15">
      <c r="A528" s="22" t="s">
        <v>634</v>
      </c>
      <c r="B528" s="105">
        <v>21</v>
      </c>
      <c r="C528" s="115">
        <v>6</v>
      </c>
      <c r="D528" s="2" t="s">
        <v>432</v>
      </c>
      <c r="E528" s="115"/>
      <c r="F528" s="18">
        <f>179821.33+131615.44</f>
        <v>311436.77</v>
      </c>
      <c r="G528" s="18">
        <f t="shared" ref="G528:G529" si="38">F528*0.5041</f>
        <v>156995.275757</v>
      </c>
      <c r="H528" s="18">
        <f>85980.27</f>
        <v>85980.27</v>
      </c>
      <c r="I528" s="18">
        <f>9148.76</f>
        <v>9148.76</v>
      </c>
      <c r="J528" s="18"/>
      <c r="K528" s="18"/>
      <c r="L528" s="88">
        <f>SUM(F528:K528)</f>
        <v>563561.07575700001</v>
      </c>
      <c r="M528" s="8"/>
      <c r="N528" s="264"/>
    </row>
    <row r="529" spans="1:14" s="3" customFormat="1" ht="12.2" customHeight="1" thickBot="1" x14ac:dyDescent="0.2">
      <c r="A529" s="22" t="s">
        <v>635</v>
      </c>
      <c r="B529" s="118">
        <v>21</v>
      </c>
      <c r="C529" s="118">
        <v>7</v>
      </c>
      <c r="D529" s="2" t="s">
        <v>432</v>
      </c>
      <c r="E529" s="118"/>
      <c r="F529" s="18">
        <f>215389.77+83985.46</f>
        <v>299375.23</v>
      </c>
      <c r="G529" s="18">
        <f t="shared" si="38"/>
        <v>150915.05344299998</v>
      </c>
      <c r="H529" s="18">
        <f>206073.25</f>
        <v>206073.25</v>
      </c>
      <c r="I529" s="18">
        <f>14554.85</f>
        <v>14554.85</v>
      </c>
      <c r="J529" s="18"/>
      <c r="K529" s="18"/>
      <c r="L529" s="88">
        <f>SUM(F529:K529)</f>
        <v>670918.38344299991</v>
      </c>
      <c r="M529" s="8"/>
      <c r="N529" s="264"/>
    </row>
    <row r="530" spans="1:14" s="3" customFormat="1" ht="12.2" customHeight="1" thickTop="1" x14ac:dyDescent="0.15">
      <c r="A530" s="139" t="s">
        <v>65</v>
      </c>
      <c r="B530" s="107">
        <v>21</v>
      </c>
      <c r="C530" s="107">
        <v>8</v>
      </c>
      <c r="D530" s="158" t="s">
        <v>432</v>
      </c>
      <c r="E530" s="107"/>
      <c r="F530" s="89">
        <f>SUM(F527:F529)</f>
        <v>2053941.7300000002</v>
      </c>
      <c r="G530" s="89">
        <f t="shared" ref="G530:L530" si="39">SUM(G527:G529)</f>
        <v>1035392.026093</v>
      </c>
      <c r="H530" s="89">
        <f t="shared" si="39"/>
        <v>463878.42</v>
      </c>
      <c r="I530" s="89">
        <f t="shared" si="39"/>
        <v>41585.279999999999</v>
      </c>
      <c r="J530" s="89">
        <f t="shared" si="39"/>
        <v>0</v>
      </c>
      <c r="K530" s="89">
        <f t="shared" si="39"/>
        <v>0</v>
      </c>
      <c r="L530" s="89">
        <f t="shared" si="39"/>
        <v>3594797.4560930002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104723.84</v>
      </c>
      <c r="G532" s="18">
        <f>F532*0.5041</f>
        <v>52791.287743999994</v>
      </c>
      <c r="H532" s="18">
        <v>818.44</v>
      </c>
      <c r="I532" s="18">
        <f>496.64</f>
        <v>496.64</v>
      </c>
      <c r="J532" s="18"/>
      <c r="K532" s="18"/>
      <c r="L532" s="88">
        <f>SUM(F532:K532)</f>
        <v>158830.20774400001</v>
      </c>
      <c r="M532" s="8"/>
      <c r="N532" s="264"/>
    </row>
    <row r="533" spans="1:14" s="3" customFormat="1" ht="12.2" customHeight="1" x14ac:dyDescent="0.15">
      <c r="A533" s="22" t="s">
        <v>634</v>
      </c>
      <c r="B533" s="105">
        <v>21</v>
      </c>
      <c r="C533" s="105">
        <v>10</v>
      </c>
      <c r="D533" s="2" t="s">
        <v>432</v>
      </c>
      <c r="E533" s="105"/>
      <c r="F533" s="18">
        <v>53579.64</v>
      </c>
      <c r="G533" s="18">
        <f t="shared" ref="G533:G534" si="40">F533*0.5041</f>
        <v>27009.496523999998</v>
      </c>
      <c r="H533" s="18">
        <v>418.74</v>
      </c>
      <c r="I533" s="18">
        <f>254.1</f>
        <v>254.1</v>
      </c>
      <c r="J533" s="18"/>
      <c r="K533" s="18"/>
      <c r="L533" s="88">
        <f>SUM(F533:K533)</f>
        <v>81261.976524000012</v>
      </c>
      <c r="M533" s="8"/>
      <c r="N533" s="264"/>
    </row>
    <row r="534" spans="1:14" s="3" customFormat="1" ht="12.2" customHeight="1" thickBot="1" x14ac:dyDescent="0.2">
      <c r="A534" s="22" t="s">
        <v>635</v>
      </c>
      <c r="B534" s="105">
        <v>21</v>
      </c>
      <c r="C534" s="105">
        <v>11</v>
      </c>
      <c r="D534" s="2" t="s">
        <v>432</v>
      </c>
      <c r="E534" s="105"/>
      <c r="F534" s="18">
        <v>85240.34</v>
      </c>
      <c r="G534" s="18">
        <f t="shared" si="40"/>
        <v>42969.655393999994</v>
      </c>
      <c r="H534" s="18">
        <v>666.17</v>
      </c>
      <c r="I534" s="18">
        <f>404.24</f>
        <v>404.24</v>
      </c>
      <c r="J534" s="18"/>
      <c r="K534" s="18"/>
      <c r="L534" s="88">
        <f>SUM(F534:K534)</f>
        <v>129280.405394</v>
      </c>
      <c r="M534" s="8"/>
      <c r="N534" s="264"/>
    </row>
    <row r="535" spans="1:14" s="3" customFormat="1" ht="12.2" customHeight="1" thickTop="1" x14ac:dyDescent="0.15">
      <c r="A535" s="139" t="s">
        <v>67</v>
      </c>
      <c r="B535" s="107">
        <v>21</v>
      </c>
      <c r="C535" s="107">
        <v>12</v>
      </c>
      <c r="D535" s="158" t="s">
        <v>432</v>
      </c>
      <c r="E535" s="107"/>
      <c r="F535" s="89">
        <f>SUM(F532:F534)</f>
        <v>243543.81999999998</v>
      </c>
      <c r="G535" s="89">
        <f t="shared" ref="G535:L535" si="41">SUM(G532:G534)</f>
        <v>122770.43966199999</v>
      </c>
      <c r="H535" s="89">
        <f t="shared" si="41"/>
        <v>1903.35</v>
      </c>
      <c r="I535" s="89">
        <f t="shared" si="41"/>
        <v>1154.98</v>
      </c>
      <c r="J535" s="89">
        <f t="shared" si="41"/>
        <v>0</v>
      </c>
      <c r="K535" s="89">
        <f t="shared" si="41"/>
        <v>0</v>
      </c>
      <c r="L535" s="89">
        <f t="shared" si="41"/>
        <v>369372.58966200001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f>10481.19</f>
        <v>10481.19</v>
      </c>
      <c r="I537" s="18"/>
      <c r="J537" s="18"/>
      <c r="K537" s="18"/>
      <c r="L537" s="88">
        <f>SUM(F537:K537)</f>
        <v>10481.19</v>
      </c>
      <c r="M537" s="8"/>
      <c r="N537" s="264"/>
    </row>
    <row r="538" spans="1:14" s="3" customFormat="1" ht="12.2" customHeight="1" x14ac:dyDescent="0.15">
      <c r="A538" s="22" t="s">
        <v>634</v>
      </c>
      <c r="B538" s="105">
        <v>21</v>
      </c>
      <c r="C538" s="105">
        <v>14</v>
      </c>
      <c r="D538" s="2" t="s">
        <v>432</v>
      </c>
      <c r="E538" s="105"/>
      <c r="F538" s="18"/>
      <c r="G538" s="18"/>
      <c r="H538" s="18">
        <f>5362.47</f>
        <v>5362.47</v>
      </c>
      <c r="I538" s="18"/>
      <c r="J538" s="18"/>
      <c r="K538" s="18"/>
      <c r="L538" s="88">
        <f>SUM(F538:K538)</f>
        <v>5362.47</v>
      </c>
      <c r="M538" s="8"/>
      <c r="N538" s="264"/>
    </row>
    <row r="539" spans="1:14" s="3" customFormat="1" ht="12.2" customHeight="1" thickBot="1" x14ac:dyDescent="0.2">
      <c r="A539" s="22" t="s">
        <v>635</v>
      </c>
      <c r="B539" s="105">
        <v>21</v>
      </c>
      <c r="C539" s="105">
        <v>15</v>
      </c>
      <c r="D539" s="2" t="s">
        <v>432</v>
      </c>
      <c r="E539" s="105"/>
      <c r="F539" s="18"/>
      <c r="G539" s="18"/>
      <c r="H539" s="18">
        <f>8531.2</f>
        <v>8531.2000000000007</v>
      </c>
      <c r="I539" s="18"/>
      <c r="J539" s="18"/>
      <c r="K539" s="18"/>
      <c r="L539" s="88">
        <f>SUM(F539:K539)</f>
        <v>8531.2000000000007</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24374.86</v>
      </c>
      <c r="I540" s="89">
        <f t="shared" si="42"/>
        <v>0</v>
      </c>
      <c r="J540" s="89">
        <f t="shared" si="42"/>
        <v>0</v>
      </c>
      <c r="K540" s="89">
        <f t="shared" si="42"/>
        <v>0</v>
      </c>
      <c r="L540" s="89">
        <f t="shared" si="42"/>
        <v>24374.86</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906248.07</f>
        <v>906248.07</v>
      </c>
      <c r="I542" s="18"/>
      <c r="J542" s="18"/>
      <c r="K542" s="18"/>
      <c r="L542" s="88">
        <f>SUM(F542:K542)</f>
        <v>906248.07</v>
      </c>
      <c r="M542" s="8"/>
      <c r="N542" s="264"/>
    </row>
    <row r="543" spans="1:14" s="3" customFormat="1" ht="12.2" customHeight="1" x14ac:dyDescent="0.15">
      <c r="A543" s="22" t="s">
        <v>634</v>
      </c>
      <c r="B543" s="105">
        <v>21</v>
      </c>
      <c r="C543" s="105">
        <v>18</v>
      </c>
      <c r="D543" s="2" t="s">
        <v>432</v>
      </c>
      <c r="E543" s="105"/>
      <c r="F543" s="18"/>
      <c r="G543" s="18"/>
      <c r="H543" s="18">
        <f>120833.08</f>
        <v>120833.08</v>
      </c>
      <c r="I543" s="18"/>
      <c r="J543" s="18"/>
      <c r="K543" s="18"/>
      <c r="L543" s="88">
        <f>SUM(F543:K543)</f>
        <v>120833.08</v>
      </c>
      <c r="M543" s="8"/>
      <c r="N543" s="264"/>
    </row>
    <row r="544" spans="1:14" s="3" customFormat="1" ht="12.2" customHeight="1" thickBot="1" x14ac:dyDescent="0.2">
      <c r="A544" s="22" t="s">
        <v>635</v>
      </c>
      <c r="B544" s="105">
        <v>21</v>
      </c>
      <c r="C544" s="105">
        <v>19</v>
      </c>
      <c r="D544" s="2" t="s">
        <v>432</v>
      </c>
      <c r="E544" s="105"/>
      <c r="F544" s="18"/>
      <c r="G544" s="18"/>
      <c r="H544" s="18">
        <f>181249.61</f>
        <v>181249.61</v>
      </c>
      <c r="I544" s="18"/>
      <c r="J544" s="18"/>
      <c r="K544" s="18"/>
      <c r="L544" s="88">
        <f>SUM(F544:K544)</f>
        <v>181249.61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3">SUM(G542:G544)</f>
        <v>0</v>
      </c>
      <c r="H545" s="193">
        <f t="shared" si="43"/>
        <v>1208330.7599999998</v>
      </c>
      <c r="I545" s="193">
        <f t="shared" si="43"/>
        <v>0</v>
      </c>
      <c r="J545" s="193">
        <f t="shared" si="43"/>
        <v>0</v>
      </c>
      <c r="K545" s="193">
        <f t="shared" si="43"/>
        <v>0</v>
      </c>
      <c r="L545" s="193">
        <f t="shared" si="43"/>
        <v>1208330.7599999998</v>
      </c>
      <c r="M545" s="8"/>
      <c r="N545" s="264"/>
    </row>
    <row r="546" spans="1:14" s="3" customFormat="1" ht="12.2" customHeight="1" thickTop="1" x14ac:dyDescent="0.15">
      <c r="A546" s="98" t="s">
        <v>72</v>
      </c>
      <c r="B546" s="107">
        <v>21</v>
      </c>
      <c r="C546" s="107">
        <v>21</v>
      </c>
      <c r="D546" s="158" t="s">
        <v>432</v>
      </c>
      <c r="E546" s="107"/>
      <c r="F546" s="89">
        <f>F525+F530+F535+F540+F545</f>
        <v>10889876.6</v>
      </c>
      <c r="G546" s="89">
        <f t="shared" ref="G546:L546" si="44">G525+G530+G535+G540+G545</f>
        <v>5489586.7940599993</v>
      </c>
      <c r="H546" s="89">
        <f t="shared" si="44"/>
        <v>3562701.09</v>
      </c>
      <c r="I546" s="89">
        <f t="shared" si="44"/>
        <v>84889.06</v>
      </c>
      <c r="J546" s="89">
        <f t="shared" si="44"/>
        <v>34091.050000000003</v>
      </c>
      <c r="K546" s="89">
        <f t="shared" si="44"/>
        <v>840</v>
      </c>
      <c r="L546" s="89">
        <f t="shared" si="44"/>
        <v>20061984.594059996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7773206.9909629999</v>
      </c>
      <c r="G550" s="87">
        <f>L527</f>
        <v>2360317.9968930003</v>
      </c>
      <c r="H550" s="87">
        <f>L532</f>
        <v>158830.20774400001</v>
      </c>
      <c r="I550" s="87">
        <f>L537</f>
        <v>10481.19</v>
      </c>
      <c r="J550" s="87">
        <f>L542</f>
        <v>906248.07</v>
      </c>
      <c r="K550" s="87">
        <f>SUM(F550:J550)</f>
        <v>11209084.455600001</v>
      </c>
      <c r="L550" s="24" t="s">
        <v>288</v>
      </c>
      <c r="M550" s="8"/>
      <c r="N550" s="264"/>
    </row>
    <row r="551" spans="1:14" s="3" customFormat="1" ht="12.2" customHeight="1" x14ac:dyDescent="0.15">
      <c r="A551" s="22" t="s">
        <v>634</v>
      </c>
      <c r="B551" s="75">
        <v>21</v>
      </c>
      <c r="C551" s="75">
        <v>23</v>
      </c>
      <c r="D551" s="2" t="s">
        <v>432</v>
      </c>
      <c r="E551" s="75"/>
      <c r="F551" s="87">
        <f>L523</f>
        <v>3113033.2763690003</v>
      </c>
      <c r="G551" s="87">
        <f>L528</f>
        <v>563561.07575700001</v>
      </c>
      <c r="H551" s="87">
        <f>L533</f>
        <v>81261.976524000012</v>
      </c>
      <c r="I551" s="87">
        <f>L538</f>
        <v>5362.47</v>
      </c>
      <c r="J551" s="87">
        <f>L543</f>
        <v>120833.08</v>
      </c>
      <c r="K551" s="87">
        <f>SUM(F551:J551)</f>
        <v>3884051.8786500008</v>
      </c>
      <c r="L551" s="24" t="s">
        <v>288</v>
      </c>
      <c r="M551" s="8"/>
      <c r="N551" s="264"/>
    </row>
    <row r="552" spans="1:14" s="3" customFormat="1" ht="12.2" customHeight="1" thickBot="1" x14ac:dyDescent="0.2">
      <c r="A552" s="22" t="s">
        <v>635</v>
      </c>
      <c r="B552" s="75">
        <v>21</v>
      </c>
      <c r="C552" s="75">
        <v>24</v>
      </c>
      <c r="D552" s="2" t="s">
        <v>432</v>
      </c>
      <c r="E552" s="75"/>
      <c r="F552" s="87">
        <f>L524</f>
        <v>3978868.6609730003</v>
      </c>
      <c r="G552" s="87">
        <f>L529</f>
        <v>670918.38344299991</v>
      </c>
      <c r="H552" s="87">
        <f>L534</f>
        <v>129280.405394</v>
      </c>
      <c r="I552" s="87">
        <f>L539</f>
        <v>8531.2000000000007</v>
      </c>
      <c r="J552" s="87">
        <f>L544</f>
        <v>181249.61</v>
      </c>
      <c r="K552" s="87">
        <f>SUM(F552:J552)</f>
        <v>4968848.2598100007</v>
      </c>
      <c r="L552" s="24" t="s">
        <v>288</v>
      </c>
      <c r="M552" s="8"/>
      <c r="N552" s="264"/>
    </row>
    <row r="553" spans="1:14" s="3" customFormat="1" ht="12.2" customHeight="1" thickTop="1" x14ac:dyDescent="0.15">
      <c r="A553" s="172" t="s">
        <v>340</v>
      </c>
      <c r="B553" s="44">
        <v>21</v>
      </c>
      <c r="C553" s="44">
        <v>25</v>
      </c>
      <c r="D553" s="39" t="s">
        <v>432</v>
      </c>
      <c r="E553" s="44"/>
      <c r="F553" s="89">
        <f t="shared" ref="F553:K553" si="45">SUM(F550:F552)</f>
        <v>14865108.928305</v>
      </c>
      <c r="G553" s="89">
        <f t="shared" si="45"/>
        <v>3594797.4560930002</v>
      </c>
      <c r="H553" s="89">
        <f t="shared" si="45"/>
        <v>369372.58966200001</v>
      </c>
      <c r="I553" s="89">
        <f t="shared" si="45"/>
        <v>24374.86</v>
      </c>
      <c r="J553" s="89">
        <f t="shared" si="45"/>
        <v>1208330.7599999998</v>
      </c>
      <c r="K553" s="89">
        <f t="shared" si="45"/>
        <v>20061984.594060004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f>65296.92</f>
        <v>65296.92</v>
      </c>
      <c r="G563" s="18">
        <f>F563*0.5041</f>
        <v>32916.177371999998</v>
      </c>
      <c r="H563" s="18"/>
      <c r="I563" s="18">
        <v>308.89</v>
      </c>
      <c r="J563" s="18"/>
      <c r="K563" s="18"/>
      <c r="L563" s="88">
        <f>SUM(F563:K563)</f>
        <v>98521.987371999989</v>
      </c>
      <c r="M563" s="8"/>
      <c r="N563" s="264"/>
    </row>
    <row r="564" spans="1:14" s="3" customFormat="1" ht="12.2" customHeight="1" x14ac:dyDescent="0.15">
      <c r="A564" s="22" t="s">
        <v>634</v>
      </c>
      <c r="B564" s="105">
        <v>22</v>
      </c>
      <c r="C564" s="115">
        <v>6</v>
      </c>
      <c r="D564" s="2" t="s">
        <v>432</v>
      </c>
      <c r="E564" s="115"/>
      <c r="F564" s="18">
        <f>44685.51</f>
        <v>44685.51</v>
      </c>
      <c r="G564" s="18">
        <f t="shared" ref="G564:G565" si="47">F564*0.5041</f>
        <v>22525.965591</v>
      </c>
      <c r="H564" s="18"/>
      <c r="I564" s="18">
        <v>66.19</v>
      </c>
      <c r="J564" s="18"/>
      <c r="K564" s="18"/>
      <c r="L564" s="88">
        <f>SUM(F564:K564)</f>
        <v>67277.665590999997</v>
      </c>
      <c r="M564" s="8"/>
      <c r="N564" s="264"/>
    </row>
    <row r="565" spans="1:14" s="3" customFormat="1" ht="12.2" customHeight="1" thickBot="1" x14ac:dyDescent="0.2">
      <c r="A565" s="22" t="s">
        <v>635</v>
      </c>
      <c r="B565" s="105">
        <v>22</v>
      </c>
      <c r="C565" s="118">
        <v>7</v>
      </c>
      <c r="D565" s="2" t="s">
        <v>432</v>
      </c>
      <c r="E565" s="118"/>
      <c r="F565" s="18">
        <f>51210.9</f>
        <v>51210.9</v>
      </c>
      <c r="G565" s="18">
        <f t="shared" si="47"/>
        <v>25815.414690000001</v>
      </c>
      <c r="H565" s="18"/>
      <c r="I565" s="18">
        <v>66.19</v>
      </c>
      <c r="J565" s="18"/>
      <c r="K565" s="18"/>
      <c r="L565" s="88">
        <f>SUM(F565:K565)</f>
        <v>77092.504690000002</v>
      </c>
      <c r="M565" s="8"/>
      <c r="N565" s="264"/>
    </row>
    <row r="566" spans="1:14" s="3" customFormat="1" ht="12.2" customHeight="1" thickTop="1" x14ac:dyDescent="0.15">
      <c r="A566" s="139" t="s">
        <v>65</v>
      </c>
      <c r="B566" s="107">
        <v>22</v>
      </c>
      <c r="C566" s="107">
        <v>8</v>
      </c>
      <c r="D566" s="196" t="s">
        <v>432</v>
      </c>
      <c r="E566" s="107"/>
      <c r="F566" s="89">
        <f t="shared" ref="F566:L566" si="48">SUM(F563:F565)</f>
        <v>161193.32999999999</v>
      </c>
      <c r="G566" s="89">
        <f t="shared" si="48"/>
        <v>81257.557652999996</v>
      </c>
      <c r="H566" s="89">
        <f t="shared" si="48"/>
        <v>0</v>
      </c>
      <c r="I566" s="89">
        <f t="shared" si="48"/>
        <v>441.27</v>
      </c>
      <c r="J566" s="89">
        <f t="shared" si="48"/>
        <v>0</v>
      </c>
      <c r="K566" s="89">
        <f t="shared" si="48"/>
        <v>0</v>
      </c>
      <c r="L566" s="89">
        <f t="shared" si="48"/>
        <v>242892.157653</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f>385641.82+(8239*0.5)</f>
        <v>389761.32</v>
      </c>
      <c r="G568" s="18">
        <f>F568*0.5041</f>
        <v>196478.68141200001</v>
      </c>
      <c r="H568" s="18"/>
      <c r="I568" s="18">
        <f>216.08*0.5</f>
        <v>108.04</v>
      </c>
      <c r="J568" s="18"/>
      <c r="K568" s="18">
        <f>2475*0.5</f>
        <v>1237.5</v>
      </c>
      <c r="L568" s="88">
        <f>SUM(F568:K568)</f>
        <v>587585.54141200008</v>
      </c>
      <c r="M568" s="8"/>
      <c r="N568" s="264"/>
    </row>
    <row r="569" spans="1:14" s="3" customFormat="1" ht="12.2" customHeight="1" x14ac:dyDescent="0.15">
      <c r="A569" s="22" t="s">
        <v>634</v>
      </c>
      <c r="B569" s="105">
        <v>22</v>
      </c>
      <c r="C569" s="105">
        <v>10</v>
      </c>
      <c r="D569" s="2" t="s">
        <v>432</v>
      </c>
      <c r="E569" s="105"/>
      <c r="F569" s="18">
        <f>49368.63+(8239*0.5)</f>
        <v>53488.13</v>
      </c>
      <c r="G569" s="18">
        <f>F569*0.5041</f>
        <v>26963.366332999998</v>
      </c>
      <c r="H569" s="18"/>
      <c r="I569" s="18">
        <f>216.08*0.5</f>
        <v>108.04</v>
      </c>
      <c r="J569" s="18"/>
      <c r="K569" s="18">
        <f>2475*0.5</f>
        <v>1237.5</v>
      </c>
      <c r="L569" s="88">
        <f>SUM(F569:K569)</f>
        <v>81797.036332999982</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443249.45</v>
      </c>
      <c r="G571" s="193">
        <f t="shared" ref="G571:L571" si="49">SUM(G568:G570)</f>
        <v>223442.04774499999</v>
      </c>
      <c r="H571" s="193">
        <f t="shared" si="49"/>
        <v>0</v>
      </c>
      <c r="I571" s="193">
        <f t="shared" si="49"/>
        <v>216.08</v>
      </c>
      <c r="J571" s="193">
        <f t="shared" si="49"/>
        <v>0</v>
      </c>
      <c r="K571" s="193">
        <f t="shared" si="49"/>
        <v>2475</v>
      </c>
      <c r="L571" s="193">
        <f t="shared" si="49"/>
        <v>669382.57774500002</v>
      </c>
      <c r="M571" s="8"/>
      <c r="N571" s="264"/>
    </row>
    <row r="572" spans="1:14" s="3" customFormat="1" ht="12.2" customHeight="1" thickTop="1" x14ac:dyDescent="0.15">
      <c r="A572" s="98" t="s">
        <v>88</v>
      </c>
      <c r="B572" s="107">
        <v>22</v>
      </c>
      <c r="C572" s="107">
        <v>13</v>
      </c>
      <c r="D572" s="158" t="s">
        <v>432</v>
      </c>
      <c r="E572" s="107"/>
      <c r="F572" s="89">
        <f>F561+F566+F571</f>
        <v>604442.78</v>
      </c>
      <c r="G572" s="89">
        <f t="shared" ref="G572:L572" si="50">G561+G566+G571</f>
        <v>304699.60539799999</v>
      </c>
      <c r="H572" s="89">
        <f t="shared" si="50"/>
        <v>0</v>
      </c>
      <c r="I572" s="89">
        <f t="shared" si="50"/>
        <v>657.35</v>
      </c>
      <c r="J572" s="89">
        <f t="shared" si="50"/>
        <v>0</v>
      </c>
      <c r="K572" s="89">
        <f t="shared" si="50"/>
        <v>2475</v>
      </c>
      <c r="L572" s="89">
        <f t="shared" si="50"/>
        <v>912274.73539799999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1175</v>
      </c>
      <c r="G580" s="18"/>
      <c r="H580" s="18"/>
      <c r="I580" s="87">
        <f t="shared" si="51"/>
        <v>1175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285803.44</v>
      </c>
      <c r="G583" s="18">
        <v>637007.75</v>
      </c>
      <c r="H583" s="18">
        <f>863874.51+6485.64+12585</f>
        <v>882945.15</v>
      </c>
      <c r="I583" s="87">
        <f t="shared" si="51"/>
        <v>1805756.3399999999</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102862.07</v>
      </c>
      <c r="I585" s="87">
        <f t="shared" si="51"/>
        <v>102862.07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1151393.52</f>
        <v>1151393.52</v>
      </c>
      <c r="I592" s="18">
        <f>863545.15</f>
        <v>863545.15</v>
      </c>
      <c r="J592" s="18">
        <f>863545.15-48631.74</f>
        <v>814913.41</v>
      </c>
      <c r="K592" s="104">
        <f t="shared" ref="K592:K598" si="52">SUM(H592:J592)</f>
        <v>2829852.08</v>
      </c>
      <c r="L592" s="24" t="s">
        <v>288</v>
      </c>
      <c r="M592" s="8"/>
      <c r="N592" s="264"/>
    </row>
    <row r="593" spans="1:14" s="3" customFormat="1" ht="12.2" customHeight="1" x14ac:dyDescent="0.15">
      <c r="A593" s="3" t="s">
        <v>638</v>
      </c>
      <c r="B593" s="75">
        <v>23</v>
      </c>
      <c r="C593" s="75">
        <v>2</v>
      </c>
      <c r="D593" s="2" t="s">
        <v>432</v>
      </c>
      <c r="E593" s="75"/>
      <c r="F593" s="102">
        <v>2722</v>
      </c>
      <c r="G593" s="103" t="s">
        <v>97</v>
      </c>
      <c r="H593" s="18">
        <f>906248.07</f>
        <v>906248.07</v>
      </c>
      <c r="I593" s="18">
        <f>120833.08</f>
        <v>120833.08</v>
      </c>
      <c r="J593" s="18">
        <f>181249.61</f>
        <v>181249.61</v>
      </c>
      <c r="K593" s="104">
        <f t="shared" si="52"/>
        <v>1208330.7599999998</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48631.74</f>
        <v>48631.74</v>
      </c>
      <c r="K594" s="104">
        <f t="shared" si="52"/>
        <v>48631.74</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f>11262.113</f>
        <v>11262.112999999999</v>
      </c>
      <c r="J595" s="18">
        <f>41580.55</f>
        <v>41580.550000000003</v>
      </c>
      <c r="K595" s="104">
        <f t="shared" si="52"/>
        <v>52842.663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f>615.71</f>
        <v>615.71</v>
      </c>
      <c r="K596" s="104">
        <f t="shared" si="52"/>
        <v>615.71</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2057641.5899999999</v>
      </c>
      <c r="I599" s="108">
        <f>SUM(I592:I598)</f>
        <v>995640.34299999999</v>
      </c>
      <c r="J599" s="108">
        <f>SUM(J592:J598)</f>
        <v>1086991.02</v>
      </c>
      <c r="K599" s="108">
        <f>SUM(K592:K598)</f>
        <v>4140272.9530000002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J212+J291</f>
        <v>570063.56999999995</v>
      </c>
      <c r="I605" s="18">
        <f>J230+J310</f>
        <v>336090.54000000004</v>
      </c>
      <c r="J605" s="18">
        <f>J248+J329+J338</f>
        <v>542044.16999999993</v>
      </c>
      <c r="K605" s="104">
        <f>SUM(H605:J605)</f>
        <v>1448198.2799999998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570063.56999999995</v>
      </c>
      <c r="I606" s="108">
        <f>SUM(I603:I605)</f>
        <v>336090.54000000004</v>
      </c>
      <c r="J606" s="108">
        <f>SUM(J603:J605)</f>
        <v>542044.16999999993</v>
      </c>
      <c r="K606" s="108">
        <f>SUM(K603:K605)</f>
        <v>1448198.2799999998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480+3744+5337+7690+4314+10140+3912+7867.5+672</f>
        <v>44156.5</v>
      </c>
      <c r="G612" s="18">
        <f>F612*0.5041</f>
        <v>22259.291649999999</v>
      </c>
      <c r="H612" s="18"/>
      <c r="I612" s="18">
        <f>17503.64*0.5</f>
        <v>8751.82</v>
      </c>
      <c r="J612" s="18"/>
      <c r="K612" s="18"/>
      <c r="L612" s="88">
        <f>SUM(F612:K612)</f>
        <v>75167.611650000006</v>
      </c>
      <c r="M612" s="8"/>
      <c r="N612" s="264"/>
    </row>
    <row r="613" spans="1:14" s="3" customFormat="1" ht="12.2" customHeight="1" x14ac:dyDescent="0.15">
      <c r="A613" s="22" t="s">
        <v>634</v>
      </c>
      <c r="B613" s="75">
        <v>23</v>
      </c>
      <c r="C613" s="75">
        <v>14</v>
      </c>
      <c r="D613" s="2" t="s">
        <v>432</v>
      </c>
      <c r="E613" s="75"/>
      <c r="F613" s="18">
        <f>33953</f>
        <v>33953</v>
      </c>
      <c r="G613" s="18">
        <f t="shared" ref="G613:G614" si="53">F613*0.5041</f>
        <v>17115.707299999998</v>
      </c>
      <c r="H613" s="18"/>
      <c r="I613" s="18">
        <f>17503.64*0.5</f>
        <v>8751.82</v>
      </c>
      <c r="J613" s="18"/>
      <c r="K613" s="18"/>
      <c r="L613" s="88">
        <f>SUM(F613:K613)</f>
        <v>59820.527299999994</v>
      </c>
      <c r="M613" s="8"/>
      <c r="N613" s="264"/>
    </row>
    <row r="614" spans="1:14" s="3" customFormat="1" ht="12.2" customHeight="1" thickBot="1" x14ac:dyDescent="0.2">
      <c r="A614" s="22" t="s">
        <v>645</v>
      </c>
      <c r="B614" s="75">
        <v>23</v>
      </c>
      <c r="C614" s="75">
        <v>15</v>
      </c>
      <c r="D614" s="2" t="s">
        <v>432</v>
      </c>
      <c r="E614" s="75"/>
      <c r="F614" s="18">
        <f>14032+24799.15</f>
        <v>38831.15</v>
      </c>
      <c r="G614" s="18">
        <f t="shared" si="53"/>
        <v>19574.782715000001</v>
      </c>
      <c r="H614" s="18"/>
      <c r="I614" s="18">
        <f>700</f>
        <v>700</v>
      </c>
      <c r="J614" s="18"/>
      <c r="K614" s="18"/>
      <c r="L614" s="88">
        <f>SUM(F614:K614)</f>
        <v>59105.932715000003</v>
      </c>
      <c r="M614" s="8"/>
      <c r="N614" s="264"/>
    </row>
    <row r="615" spans="1:14" s="3" customFormat="1" ht="12.2" customHeight="1" thickTop="1" x14ac:dyDescent="0.15">
      <c r="A615" s="98" t="s">
        <v>340</v>
      </c>
      <c r="B615" s="107">
        <v>23</v>
      </c>
      <c r="C615" s="107">
        <v>16</v>
      </c>
      <c r="D615" s="39" t="s">
        <v>432</v>
      </c>
      <c r="E615" s="107"/>
      <c r="F615" s="108">
        <f t="shared" ref="F615:L615" si="54">SUM(F612:F614)</f>
        <v>116940.65</v>
      </c>
      <c r="G615" s="108">
        <f t="shared" si="54"/>
        <v>58949.781664999995</v>
      </c>
      <c r="H615" s="108">
        <f t="shared" si="54"/>
        <v>0</v>
      </c>
      <c r="I615" s="108">
        <f t="shared" si="54"/>
        <v>18203.64</v>
      </c>
      <c r="J615" s="108">
        <f t="shared" si="54"/>
        <v>0</v>
      </c>
      <c r="K615" s="108">
        <f t="shared" si="54"/>
        <v>0</v>
      </c>
      <c r="L615" s="89">
        <f t="shared" si="54"/>
        <v>194094.071665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4219822.8400000008</v>
      </c>
      <c r="H618" s="109">
        <f>SUM(F52)</f>
        <v>4219822.84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228130.09000000003</v>
      </c>
      <c r="H619" s="109">
        <f>SUM(G52)</f>
        <v>228130.09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767346.12</v>
      </c>
      <c r="H620" s="109">
        <f>SUM(H52)</f>
        <v>767346.12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601461.04</v>
      </c>
      <c r="H622" s="109">
        <f>SUM(J52)</f>
        <v>601461.03999999992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2973171.81</v>
      </c>
      <c r="H623" s="109">
        <f>F477</f>
        <v>2973171.8099999875</v>
      </c>
      <c r="I623" s="121" t="s">
        <v>101</v>
      </c>
      <c r="J623" s="109">
        <f t="shared" ref="J623:J656" si="55">G623-H623</f>
        <v>1.257285475730896E-8</v>
      </c>
      <c r="K623" s="109"/>
      <c r="L623" s="109"/>
      <c r="M623" s="8"/>
    </row>
    <row r="624" spans="1:14" s="3" customFormat="1" ht="12.2" customHeight="1" x14ac:dyDescent="0.15">
      <c r="A624" s="97"/>
      <c r="B624" s="105"/>
      <c r="C624" s="119"/>
      <c r="D624" s="119"/>
      <c r="E624" s="119"/>
      <c r="F624" s="119" t="s">
        <v>866</v>
      </c>
      <c r="G624" s="109">
        <f>G51</f>
        <v>84360.82</v>
      </c>
      <c r="H624" s="109">
        <f>G477</f>
        <v>84360.820000000065</v>
      </c>
      <c r="I624" s="121" t="s">
        <v>102</v>
      </c>
      <c r="J624" s="109">
        <f t="shared" si="55"/>
        <v>0</v>
      </c>
      <c r="K624" s="109"/>
      <c r="L624" s="109"/>
      <c r="M624" s="8"/>
    </row>
    <row r="625" spans="1:13" s="3" customFormat="1" ht="12.2" customHeight="1" x14ac:dyDescent="0.15">
      <c r="A625" s="97"/>
      <c r="B625" s="105"/>
      <c r="C625" s="105"/>
      <c r="D625" s="105"/>
      <c r="E625" s="105"/>
      <c r="F625" s="120" t="s">
        <v>867</v>
      </c>
      <c r="G625" s="109">
        <f>H51</f>
        <v>20832.82</v>
      </c>
      <c r="H625" s="109">
        <f>H477</f>
        <v>20832.819999999832</v>
      </c>
      <c r="I625" s="121" t="s">
        <v>103</v>
      </c>
      <c r="J625" s="109">
        <f t="shared" si="55"/>
        <v>1.673470251262188E-10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5"/>
        <v>0</v>
      </c>
      <c r="K626" s="109"/>
      <c r="L626" s="109"/>
      <c r="M626" s="8"/>
    </row>
    <row r="627" spans="1:13" s="3" customFormat="1" ht="12.2" customHeight="1" x14ac:dyDescent="0.15">
      <c r="A627" s="22"/>
      <c r="B627" s="105"/>
      <c r="C627" s="105"/>
      <c r="D627" s="105"/>
      <c r="E627" s="105"/>
      <c r="F627" s="120" t="s">
        <v>869</v>
      </c>
      <c r="G627" s="109">
        <f>J51</f>
        <v>556983.56999999995</v>
      </c>
      <c r="H627" s="109">
        <f>J477</f>
        <v>556983.56999999995</v>
      </c>
      <c r="I627" s="140" t="s">
        <v>105</v>
      </c>
      <c r="J627" s="109">
        <f t="shared" si="55"/>
        <v>0</v>
      </c>
      <c r="K627" s="85"/>
      <c r="L627" s="88"/>
      <c r="M627" s="8"/>
    </row>
    <row r="628" spans="1:13" s="3" customFormat="1" ht="12.2" customHeight="1" x14ac:dyDescent="0.15">
      <c r="A628" s="22"/>
      <c r="B628" s="105"/>
      <c r="C628" s="105"/>
      <c r="D628" s="105"/>
      <c r="E628" s="105"/>
      <c r="F628" s="120" t="s">
        <v>658</v>
      </c>
      <c r="G628" s="109">
        <f>F194</f>
        <v>80135125.459999993</v>
      </c>
      <c r="H628" s="104">
        <f>SUM(F469)</f>
        <v>80135125.459999993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1381611.6800000002</v>
      </c>
      <c r="H629" s="104">
        <f>SUM(G469)</f>
        <v>1381611.6800000002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3057075.7540000002</v>
      </c>
      <c r="H630" s="104">
        <f>SUM(H469)</f>
        <v>3057075.75</v>
      </c>
      <c r="I630" s="140" t="s">
        <v>108</v>
      </c>
      <c r="J630" s="109">
        <f>G630-H630</f>
        <v>4.0000001899898052E-3</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1001593.62</v>
      </c>
      <c r="H632" s="104">
        <f>SUM(J469)</f>
        <v>1001593.62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78997237.900000006</v>
      </c>
      <c r="H633" s="104">
        <f>SUM(F473)</f>
        <v>78997237.900000006</v>
      </c>
      <c r="I633" s="140" t="s">
        <v>111</v>
      </c>
      <c r="J633" s="109">
        <f t="shared" si="55"/>
        <v>0</v>
      </c>
      <c r="K633" s="85"/>
      <c r="L633" s="88"/>
      <c r="M633" s="8"/>
    </row>
    <row r="634" spans="1:13" s="3" customFormat="1" ht="12.2" customHeight="1" x14ac:dyDescent="0.15">
      <c r="A634" s="22"/>
      <c r="B634" s="105"/>
      <c r="C634" s="105"/>
      <c r="D634" s="105"/>
      <c r="E634" s="105"/>
      <c r="F634" s="120" t="s">
        <v>395</v>
      </c>
      <c r="G634" s="109">
        <f>SUM(L353)</f>
        <v>3120182.39</v>
      </c>
      <c r="H634" s="104">
        <f>SUM(H473)</f>
        <v>3120182.39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655549.96000000008</v>
      </c>
      <c r="H635" s="104">
        <f>I370</f>
        <v>655549.96000000008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1391225.2</v>
      </c>
      <c r="H636" s="104">
        <f>SUM(G473)</f>
        <v>1391225.2000000002</v>
      </c>
      <c r="I636" s="140" t="s">
        <v>114</v>
      </c>
      <c r="J636" s="109">
        <f t="shared" si="55"/>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5"/>
        <v>0</v>
      </c>
      <c r="K637" s="85"/>
      <c r="L637" s="88"/>
      <c r="M637" s="8"/>
    </row>
    <row r="638" spans="1:13" s="3" customFormat="1" ht="12.2" customHeight="1" x14ac:dyDescent="0.15">
      <c r="A638" s="161"/>
      <c r="B638" s="162"/>
      <c r="C638" s="162"/>
      <c r="D638" s="162"/>
      <c r="E638" s="162"/>
      <c r="F638" s="163" t="s">
        <v>477</v>
      </c>
      <c r="G638" s="151">
        <f>SUM(L409)</f>
        <v>1001593.6200000001</v>
      </c>
      <c r="H638" s="164">
        <f>SUM(J469)</f>
        <v>1001593.62</v>
      </c>
      <c r="I638" s="165" t="s">
        <v>110</v>
      </c>
      <c r="J638" s="151">
        <f t="shared" si="55"/>
        <v>0</v>
      </c>
      <c r="K638" s="166"/>
      <c r="L638" s="167"/>
      <c r="M638" s="8"/>
    </row>
    <row r="639" spans="1:13" s="3" customFormat="1" ht="12.2" customHeight="1" x14ac:dyDescent="0.15">
      <c r="A639" s="161"/>
      <c r="B639" s="162"/>
      <c r="C639" s="162"/>
      <c r="D639" s="162"/>
      <c r="E639" s="162"/>
      <c r="F639" s="163" t="s">
        <v>478</v>
      </c>
      <c r="G639" s="151">
        <f>SUM(L435)</f>
        <v>737598.91999999993</v>
      </c>
      <c r="H639" s="164">
        <f>SUM(J473)</f>
        <v>737598.92</v>
      </c>
      <c r="I639" s="165" t="s">
        <v>117</v>
      </c>
      <c r="J639" s="151">
        <f t="shared" si="55"/>
        <v>0</v>
      </c>
      <c r="K639" s="166"/>
      <c r="L639" s="167"/>
      <c r="M639" s="8"/>
    </row>
    <row r="640" spans="1:13" s="3" customFormat="1" ht="12.2" customHeight="1" x14ac:dyDescent="0.15">
      <c r="A640" s="22"/>
      <c r="B640" s="105"/>
      <c r="C640" s="105"/>
      <c r="D640" s="105"/>
      <c r="E640" s="105"/>
      <c r="F640" s="120" t="s">
        <v>118</v>
      </c>
      <c r="G640" s="109">
        <f>SUM(F447)</f>
        <v>101069.9</v>
      </c>
      <c r="H640" s="104">
        <f>SUM(F462)</f>
        <v>101069.9</v>
      </c>
      <c r="I640" s="140" t="s">
        <v>841</v>
      </c>
      <c r="J640" s="109">
        <f t="shared" si="55"/>
        <v>0</v>
      </c>
      <c r="K640" s="85"/>
      <c r="L640" s="88"/>
      <c r="M640" s="8"/>
    </row>
    <row r="641" spans="1:13" s="3" customFormat="1" ht="12.2" customHeight="1" x14ac:dyDescent="0.15">
      <c r="A641" s="22"/>
      <c r="B641" s="105"/>
      <c r="C641" s="105"/>
      <c r="D641" s="105"/>
      <c r="E641" s="105"/>
      <c r="F641" s="120" t="s">
        <v>119</v>
      </c>
      <c r="G641" s="109">
        <f>SUM(G447)</f>
        <v>500391.14</v>
      </c>
      <c r="H641" s="104">
        <f>SUM(G462)</f>
        <v>500391.14</v>
      </c>
      <c r="I641" s="140" t="s">
        <v>842</v>
      </c>
      <c r="J641" s="109">
        <f t="shared" si="55"/>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5"/>
        <v>0</v>
      </c>
      <c r="K642" s="85"/>
      <c r="L642" s="88"/>
      <c r="M642" s="8"/>
    </row>
    <row r="643" spans="1:13" s="3" customFormat="1" ht="12.2" customHeight="1" x14ac:dyDescent="0.15">
      <c r="A643" s="22"/>
      <c r="B643" s="105"/>
      <c r="C643" s="105"/>
      <c r="D643" s="105"/>
      <c r="E643" s="105"/>
      <c r="F643" s="120" t="s">
        <v>121</v>
      </c>
      <c r="G643" s="109">
        <f>SUM(I447)</f>
        <v>601461.04</v>
      </c>
      <c r="H643" s="104">
        <f>SUM(I462)</f>
        <v>601461.03999999992</v>
      </c>
      <c r="I643" s="140" t="s">
        <v>844</v>
      </c>
      <c r="J643" s="109">
        <f t="shared" si="55"/>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5"/>
        <v>0</v>
      </c>
      <c r="K644" s="85"/>
      <c r="L644" s="88"/>
      <c r="M644" s="8"/>
    </row>
    <row r="645" spans="1:13" s="3" customFormat="1" ht="12.2" customHeight="1" x14ac:dyDescent="0.15">
      <c r="A645" s="22"/>
      <c r="B645" s="105"/>
      <c r="C645" s="105"/>
      <c r="D645" s="105"/>
      <c r="E645" s="105"/>
      <c r="F645" s="120" t="s">
        <v>663</v>
      </c>
      <c r="G645" s="109">
        <f>J96</f>
        <v>1593.62</v>
      </c>
      <c r="H645" s="104">
        <f>H409</f>
        <v>1593.62</v>
      </c>
      <c r="I645" s="140" t="s">
        <v>480</v>
      </c>
      <c r="J645" s="109">
        <f t="shared" si="55"/>
        <v>0</v>
      </c>
      <c r="K645" s="85"/>
      <c r="L645" s="88"/>
      <c r="M645" s="8"/>
    </row>
    <row r="646" spans="1:13" s="3" customFormat="1" ht="12.2" customHeight="1" x14ac:dyDescent="0.15">
      <c r="A646" s="22"/>
      <c r="B646" s="105"/>
      <c r="C646" s="105"/>
      <c r="D646" s="105"/>
      <c r="E646" s="105"/>
      <c r="F646" s="120" t="s">
        <v>664</v>
      </c>
      <c r="G646" s="109">
        <f>J184</f>
        <v>1000000</v>
      </c>
      <c r="H646" s="104">
        <f>G409</f>
        <v>1000000</v>
      </c>
      <c r="I646" s="140" t="s">
        <v>481</v>
      </c>
      <c r="J646" s="109">
        <f t="shared" si="55"/>
        <v>0</v>
      </c>
      <c r="K646" s="85"/>
      <c r="L646" s="88"/>
      <c r="M646" s="8"/>
    </row>
    <row r="647" spans="1:13" s="3" customFormat="1" ht="12.2" customHeight="1" x14ac:dyDescent="0.15">
      <c r="A647" s="22"/>
      <c r="B647" s="105"/>
      <c r="C647" s="105"/>
      <c r="D647" s="105"/>
      <c r="E647" s="105"/>
      <c r="F647" s="120" t="s">
        <v>662</v>
      </c>
      <c r="G647" s="109">
        <f>J194</f>
        <v>1001593.62</v>
      </c>
      <c r="H647" s="104">
        <f>L409</f>
        <v>1001593.6200000001</v>
      </c>
      <c r="I647" s="140" t="s">
        <v>477</v>
      </c>
      <c r="J647" s="109">
        <f t="shared" si="55"/>
        <v>0</v>
      </c>
      <c r="K647" s="85"/>
      <c r="L647" s="88"/>
      <c r="M647" s="8"/>
    </row>
    <row r="648" spans="1:13" s="3" customFormat="1" ht="12.2" customHeight="1" x14ac:dyDescent="0.15">
      <c r="A648" s="22"/>
      <c r="B648" s="105"/>
      <c r="C648" s="105"/>
      <c r="D648" s="105"/>
      <c r="E648" s="105"/>
      <c r="F648" s="120" t="s">
        <v>51</v>
      </c>
      <c r="G648" s="109">
        <f>K599</f>
        <v>4140272.9530000002</v>
      </c>
      <c r="H648" s="104">
        <f>L209+L227+L245</f>
        <v>4140272.95</v>
      </c>
      <c r="I648" s="140" t="s">
        <v>396</v>
      </c>
      <c r="J648" s="109">
        <f t="shared" si="55"/>
        <v>3.0000000260770321E-3</v>
      </c>
      <c r="K648" s="85"/>
      <c r="L648" s="88"/>
      <c r="M648" s="8"/>
    </row>
    <row r="649" spans="1:13" s="3" customFormat="1" ht="12.2" customHeight="1" x14ac:dyDescent="0.15">
      <c r="A649" s="22"/>
      <c r="B649" s="105"/>
      <c r="C649" s="105"/>
      <c r="D649" s="105"/>
      <c r="E649" s="105"/>
      <c r="F649" s="120" t="s">
        <v>52</v>
      </c>
      <c r="G649" s="109">
        <f>K606</f>
        <v>1448198.2799999998</v>
      </c>
      <c r="H649" s="104">
        <f>(J258+J339)-(J256+J337)</f>
        <v>1448198.2799999998</v>
      </c>
      <c r="I649" s="140" t="s">
        <v>699</v>
      </c>
      <c r="J649" s="109">
        <f t="shared" si="55"/>
        <v>0</v>
      </c>
      <c r="K649" s="85"/>
      <c r="L649" s="88"/>
      <c r="M649" s="8"/>
    </row>
    <row r="650" spans="1:13" s="3" customFormat="1" ht="12.2" customHeight="1" x14ac:dyDescent="0.15">
      <c r="A650" s="22"/>
      <c r="B650" s="105"/>
      <c r="C650" s="105"/>
      <c r="D650" s="105"/>
      <c r="E650" s="105"/>
      <c r="F650" s="120" t="s">
        <v>387</v>
      </c>
      <c r="G650" s="109">
        <f>L209</f>
        <v>2057641.59</v>
      </c>
      <c r="H650" s="104">
        <f>H599</f>
        <v>2057641.5899999999</v>
      </c>
      <c r="I650" s="140" t="s">
        <v>388</v>
      </c>
      <c r="J650" s="109">
        <f t="shared" si="55"/>
        <v>0</v>
      </c>
      <c r="K650" s="85"/>
      <c r="L650" s="88"/>
      <c r="M650" s="8"/>
    </row>
    <row r="651" spans="1:13" s="3" customFormat="1" ht="12.2" customHeight="1" x14ac:dyDescent="0.15">
      <c r="A651" s="22"/>
      <c r="B651" s="105"/>
      <c r="C651" s="105"/>
      <c r="D651" s="105"/>
      <c r="E651" s="105"/>
      <c r="F651" s="120" t="s">
        <v>392</v>
      </c>
      <c r="G651" s="109">
        <f>L227</f>
        <v>995640.34</v>
      </c>
      <c r="H651" s="104">
        <f>I599</f>
        <v>995640.34299999999</v>
      </c>
      <c r="I651" s="140" t="s">
        <v>389</v>
      </c>
      <c r="J651" s="109">
        <f t="shared" si="55"/>
        <v>-3.0000000260770321E-3</v>
      </c>
      <c r="K651" s="85"/>
      <c r="L651" s="88"/>
      <c r="M651" s="8"/>
    </row>
    <row r="652" spans="1:13" s="3" customFormat="1" ht="12.2" customHeight="1" x14ac:dyDescent="0.15">
      <c r="A652" s="22"/>
      <c r="B652" s="105"/>
      <c r="C652" s="105"/>
      <c r="D652" s="105"/>
      <c r="E652" s="105"/>
      <c r="F652" s="120" t="s">
        <v>393</v>
      </c>
      <c r="G652" s="109">
        <f>L245</f>
        <v>1086991.02</v>
      </c>
      <c r="H652" s="104">
        <f>J599</f>
        <v>1086991.02</v>
      </c>
      <c r="I652" s="140" t="s">
        <v>390</v>
      </c>
      <c r="J652" s="109">
        <f t="shared" si="55"/>
        <v>0</v>
      </c>
      <c r="K652" s="85"/>
      <c r="L652" s="88"/>
      <c r="M652" s="8"/>
    </row>
    <row r="653" spans="1:13" s="3" customFormat="1" ht="12.2" customHeight="1" x14ac:dyDescent="0.15">
      <c r="A653" s="22"/>
      <c r="B653" s="105"/>
      <c r="C653" s="105"/>
      <c r="D653" s="105"/>
      <c r="E653" s="105"/>
      <c r="F653" s="120" t="s">
        <v>665</v>
      </c>
      <c r="G653" s="109">
        <f>G180+G182</f>
        <v>127932.23</v>
      </c>
      <c r="H653" s="104">
        <f>K264+K346</f>
        <v>127932.23</v>
      </c>
      <c r="I653" s="140" t="s">
        <v>397</v>
      </c>
      <c r="J653" s="109">
        <f t="shared" si="55"/>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5"/>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5"/>
        <v>0</v>
      </c>
      <c r="K655" s="85"/>
      <c r="L655" s="88"/>
      <c r="M655" s="8"/>
    </row>
    <row r="656" spans="1:13" s="3" customFormat="1" ht="12.2" customHeight="1" x14ac:dyDescent="0.15">
      <c r="A656" s="22"/>
      <c r="B656" s="105"/>
      <c r="C656" s="105"/>
      <c r="D656" s="105"/>
      <c r="E656" s="105"/>
      <c r="F656" s="120" t="s">
        <v>668</v>
      </c>
      <c r="G656" s="109">
        <f>J180+J182</f>
        <v>1000000</v>
      </c>
      <c r="H656" s="104">
        <f>K267+K348</f>
        <v>1000000</v>
      </c>
      <c r="I656" s="140" t="s">
        <v>400</v>
      </c>
      <c r="J656" s="109">
        <f t="shared" si="55"/>
        <v>0</v>
      </c>
      <c r="K656" s="85"/>
      <c r="L656" s="88"/>
      <c r="M656" s="9"/>
    </row>
    <row r="657" spans="1:13" s="3" customFormat="1" ht="12.2" customHeight="1" x14ac:dyDescent="0.15">
      <c r="A657" s="127"/>
      <c r="B657" s="127"/>
      <c r="C657" s="127"/>
      <c r="D657" s="127"/>
      <c r="E657" s="127"/>
      <c r="F657" s="26" t="s">
        <v>122</v>
      </c>
      <c r="G657" s="19"/>
      <c r="H657" s="104">
        <f>SUM(G618:G656)-SUM(H618:H656)</f>
        <v>4.0000379085540771E-3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34757943.053999998</v>
      </c>
      <c r="G661" s="19">
        <f>(L230+L310+L360)</f>
        <v>17688222.460600004</v>
      </c>
      <c r="H661" s="19">
        <f>(L248+L329+L361)</f>
        <v>27850578.475400001</v>
      </c>
      <c r="I661" s="19">
        <f>SUM(F661:H661)</f>
        <v>80296743.99000001</v>
      </c>
      <c r="J661" s="13"/>
      <c r="K661" s="13"/>
      <c r="L661" s="13"/>
      <c r="M661" s="9"/>
    </row>
    <row r="662" spans="1:13" s="3" customFormat="1" ht="12.2" customHeight="1" x14ac:dyDescent="0.2">
      <c r="A662" s="1" t="s">
        <v>127</v>
      </c>
      <c r="F662" s="19">
        <f>(L359/IF(SUM(L359:L361)=0,1,SUM(L359:L361))*(SUM(G97:G110)))</f>
        <v>60461.420921710458</v>
      </c>
      <c r="G662" s="19">
        <f>(L360/IF(SUM(L359:L361)=0,1,SUM(L359:L361))*(SUM(G97:G110)))</f>
        <v>34362.900081131054</v>
      </c>
      <c r="H662" s="19">
        <f>(L361/IF(SUM(L359:L361)=0,1,SUM(L359:L361))*(SUM(G97:G110)))</f>
        <v>53381.628997158499</v>
      </c>
      <c r="I662" s="19">
        <f>SUM(F662:H662)</f>
        <v>148205.95000000001</v>
      </c>
      <c r="J662"/>
      <c r="K662" s="13"/>
      <c r="L662" s="13"/>
      <c r="M662" s="8"/>
    </row>
    <row r="663" spans="1:13" s="3" customFormat="1" ht="12.2" customHeight="1" x14ac:dyDescent="0.2">
      <c r="A663" s="1" t="s">
        <v>128</v>
      </c>
      <c r="F663" s="19">
        <f>(L209+L288)-(J209+J288)</f>
        <v>2061336.86</v>
      </c>
      <c r="G663" s="19">
        <f>(L227+L307)-(J227+J307)</f>
        <v>997857.5</v>
      </c>
      <c r="H663" s="19">
        <f>(L245+L326)-(J245+J326)</f>
        <v>1088469.1300000001</v>
      </c>
      <c r="I663" s="19">
        <f>SUM(F663:H663)</f>
        <v>4147663.49</v>
      </c>
      <c r="J663"/>
      <c r="K663" s="13"/>
      <c r="L663" s="13"/>
      <c r="M663" s="9"/>
    </row>
    <row r="664" spans="1:13" s="3" customFormat="1" ht="12.2" customHeight="1" x14ac:dyDescent="0.15">
      <c r="A664" s="198" t="s">
        <v>129</v>
      </c>
      <c r="B664" s="169"/>
      <c r="C664" s="169"/>
      <c r="D664" s="169"/>
      <c r="E664" s="169"/>
      <c r="F664" s="199">
        <f>SUM(F576:F588)+SUM(H603:H605)+SUM(L612)</f>
        <v>932209.62164999999</v>
      </c>
      <c r="G664" s="199">
        <f>SUM(G576:G588)+SUM(I603:I605)+L613</f>
        <v>1032918.8173</v>
      </c>
      <c r="H664" s="199">
        <f>SUM(H576:H588)+SUM(J603:J605)+L614</f>
        <v>1586957.3227149998</v>
      </c>
      <c r="I664" s="19">
        <f>SUM(F664:H664)</f>
        <v>3552085.7616649996</v>
      </c>
      <c r="J664" s="13"/>
      <c r="K664" s="13"/>
      <c r="L664" s="13"/>
      <c r="M664" s="9"/>
    </row>
    <row r="665" spans="1:13" s="3" customFormat="1" ht="12.2" customHeight="1" x14ac:dyDescent="0.15">
      <c r="A665" s="1" t="s">
        <v>130</v>
      </c>
      <c r="F665" s="19">
        <f>F661-SUM(F662:F664)</f>
        <v>31703935.151428286</v>
      </c>
      <c r="G665" s="19">
        <f>G661-SUM(G662:G664)</f>
        <v>15623083.243218873</v>
      </c>
      <c r="H665" s="19">
        <f>H661-SUM(H662:H664)</f>
        <v>25121770.393687844</v>
      </c>
      <c r="I665" s="19">
        <f>I661-SUM(I662:I664)</f>
        <v>72448788.78833501</v>
      </c>
      <c r="J665" s="13"/>
      <c r="K665" s="13"/>
      <c r="L665" s="13"/>
      <c r="M665" s="8"/>
    </row>
    <row r="666" spans="1:13" s="3" customFormat="1" ht="12.2" customHeight="1" x14ac:dyDescent="0.25">
      <c r="A666" s="1" t="s">
        <v>131</v>
      </c>
      <c r="F666" s="359">
        <v>1599.67</v>
      </c>
      <c r="G666" s="359">
        <v>888.86</v>
      </c>
      <c r="H666" s="359">
        <v>1417.24</v>
      </c>
      <c r="I666" s="19">
        <f>SUM(F666:H666)</f>
        <v>3905.7700000000004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19819.05</v>
      </c>
      <c r="G668" s="19">
        <f>ROUND(G665/G666,2)</f>
        <v>17576.54</v>
      </c>
      <c r="H668" s="19">
        <f>ROUND(H665/H666,2)</f>
        <v>17725.84</v>
      </c>
      <c r="I668" s="19">
        <f>ROUND(I665/I666,2)</f>
        <v>18549.169999999998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-26.33</v>
      </c>
      <c r="I671" s="19">
        <f>SUM(F671:H671)</f>
        <v>-26.33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19819.05</v>
      </c>
      <c r="G673" s="19">
        <f>ROUND((G665+G670)/(G666+G671),2)</f>
        <v>17576.54</v>
      </c>
      <c r="H673" s="19">
        <f>ROUND((H665+H670)/(H666+H671),2)</f>
        <v>18061.39</v>
      </c>
      <c r="I673" s="19">
        <f>ROUND((I665+I670)/(I666+I671),2)</f>
        <v>18675.060000000001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2" sqref="E22"/>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474466.07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971998.51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1446464.58-552689.83</f>
        <v>893774.75000000012</v>
      </c>
      <c r="F22" s="346"/>
    </row>
    <row r="23" spans="2:8" x14ac:dyDescent="0.25">
      <c r="B23" s="346"/>
      <c r="C23" s="346"/>
      <c r="D23" s="346"/>
      <c r="E23" s="346"/>
      <c r="F23" s="346"/>
    </row>
    <row r="24" spans="2:8" ht="26.25" customHeight="1" x14ac:dyDescent="0.25">
      <c r="B24" s="346"/>
      <c r="C24" s="348" t="s">
        <v>1661</v>
      </c>
      <c r="D24" s="346"/>
      <c r="E24" s="341">
        <f>409218.02-30823.52</f>
        <v>378394.5</v>
      </c>
      <c r="F24" s="346"/>
    </row>
    <row r="25" spans="2:8" ht="18" x14ac:dyDescent="0.25">
      <c r="B25" s="346"/>
      <c r="C25" s="349"/>
      <c r="D25" s="346"/>
      <c r="E25" s="346"/>
      <c r="F25" s="346"/>
    </row>
    <row r="26" spans="2:8" ht="27.75" customHeight="1" x14ac:dyDescent="0.25">
      <c r="B26" s="346"/>
      <c r="C26" s="348" t="s">
        <v>1662</v>
      </c>
      <c r="D26" s="346"/>
      <c r="E26" s="341">
        <f>968450.98-521866.31</f>
        <v>446584.67</v>
      </c>
      <c r="F26" s="346"/>
    </row>
    <row r="27" spans="2:8" x14ac:dyDescent="0.25">
      <c r="B27" s="346"/>
      <c r="C27" s="348"/>
      <c r="D27" s="346"/>
      <c r="E27" s="346"/>
      <c r="F27" s="346"/>
    </row>
    <row r="28" spans="2:8" ht="15.75" customHeight="1" x14ac:dyDescent="0.25">
      <c r="B28" s="346"/>
      <c r="C28" s="348" t="s">
        <v>1663</v>
      </c>
      <c r="D28" s="346"/>
      <c r="E28" s="342">
        <f>30823.52+47096.5+243487.77</f>
        <v>321407.78999999998</v>
      </c>
      <c r="F28" s="346"/>
    </row>
    <row r="29" spans="2:8" x14ac:dyDescent="0.25">
      <c r="B29" s="346"/>
      <c r="C29" s="346"/>
      <c r="D29" s="346"/>
      <c r="E29" s="346"/>
      <c r="F29" s="346"/>
    </row>
    <row r="30" spans="2:8" ht="16.5" customHeight="1" x14ac:dyDescent="0.25">
      <c r="B30" s="346"/>
      <c r="C30" s="348" t="s">
        <v>1664</v>
      </c>
      <c r="D30" s="346"/>
      <c r="E30" s="341">
        <f>5972.77+5529.41+219779.86</f>
        <v>231282.03999999998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LONDONDERRY SCHOOL DISTRICT</v>
      </c>
      <c r="C5" s="363"/>
      <c r="D5" s="363"/>
      <c r="E5" s="363"/>
      <c r="F5" s="363"/>
    </row>
    <row r="8" spans="1:9" ht="18" x14ac:dyDescent="0.25">
      <c r="A8" s="317" t="s">
        <v>1576</v>
      </c>
      <c r="F8" s="324" t="s">
        <v>1594</v>
      </c>
    </row>
    <row r="9" spans="1:9" ht="15" x14ac:dyDescent="0.2">
      <c r="A9" s="315" t="s">
        <v>1577</v>
      </c>
      <c r="B9" s="318">
        <f>'DOE25'!G97</f>
        <v>124351.58</v>
      </c>
      <c r="F9" s="315" t="s">
        <v>1590</v>
      </c>
    </row>
    <row r="10" spans="1:9" ht="15" x14ac:dyDescent="0.2">
      <c r="A10" s="315" t="s">
        <v>1578</v>
      </c>
      <c r="B10" s="318">
        <f>'DOE25'!G112-'DOE25'!G97</f>
        <v>23855.87000000001</v>
      </c>
      <c r="F10" s="315" t="s">
        <v>1591</v>
      </c>
    </row>
    <row r="11" spans="1:9" ht="15" x14ac:dyDescent="0.2">
      <c r="A11" s="315" t="s">
        <v>1579</v>
      </c>
      <c r="B11" s="318">
        <f>'DOE25'!G140</f>
        <v>13092.15</v>
      </c>
      <c r="F11" s="315" t="s">
        <v>1592</v>
      </c>
    </row>
    <row r="12" spans="1:9" ht="15" x14ac:dyDescent="0.2">
      <c r="A12" s="315" t="s">
        <v>1580</v>
      </c>
      <c r="B12" s="318">
        <f>'DOE25'!G170</f>
        <v>1092379.8500000001</v>
      </c>
      <c r="F12" s="315" t="s">
        <v>1593</v>
      </c>
    </row>
    <row r="13" spans="1:9" ht="15" x14ac:dyDescent="0.2">
      <c r="A13" s="315" t="s">
        <v>1581</v>
      </c>
      <c r="B13" s="318">
        <f>'DOE25'!G193-'DOE25'!G180</f>
        <v>39754.58</v>
      </c>
      <c r="F13" s="315" t="s">
        <v>1603</v>
      </c>
    </row>
    <row r="14" spans="1:9" ht="18" x14ac:dyDescent="0.25">
      <c r="A14" s="317" t="s">
        <v>732</v>
      </c>
      <c r="B14" s="319">
        <f>SUM(B9:B13)</f>
        <v>1293434.0300000003</v>
      </c>
    </row>
    <row r="16" spans="1:9" ht="18" x14ac:dyDescent="0.25">
      <c r="A16" s="317" t="s">
        <v>786</v>
      </c>
      <c r="F16" s="324" t="s">
        <v>1595</v>
      </c>
    </row>
    <row r="17" spans="1:6" ht="15" x14ac:dyDescent="0.2">
      <c r="A17" s="315" t="s">
        <v>1582</v>
      </c>
      <c r="B17" s="318">
        <f>'DOE25'!L363-'DOE25'!L362</f>
        <v>1391225.2</v>
      </c>
      <c r="F17" s="315" t="s">
        <v>1596</v>
      </c>
    </row>
    <row r="18" spans="1:6" ht="15" x14ac:dyDescent="0.2">
      <c r="A18" s="315" t="s">
        <v>1583</v>
      </c>
      <c r="B18" s="328"/>
      <c r="F18" s="324" t="s">
        <v>1620</v>
      </c>
    </row>
    <row r="19" spans="1:6" ht="18" x14ac:dyDescent="0.25">
      <c r="A19" s="317" t="s">
        <v>725</v>
      </c>
      <c r="B19" s="319">
        <f>SUM(B17:B18)</f>
        <v>1391225.2</v>
      </c>
    </row>
    <row r="21" spans="1:6" ht="18.75" thickBot="1" x14ac:dyDescent="0.3">
      <c r="A21" s="317" t="s">
        <v>1584</v>
      </c>
    </row>
    <row r="22" spans="1:6" ht="18.75" thickTop="1" x14ac:dyDescent="0.25">
      <c r="A22" s="317" t="s">
        <v>1585</v>
      </c>
      <c r="B22" s="323">
        <f>B14-B19</f>
        <v>-97791.169999999693</v>
      </c>
      <c r="F22" s="315" t="s">
        <v>1597</v>
      </c>
    </row>
    <row r="26" spans="1:6" ht="18" x14ac:dyDescent="0.25">
      <c r="A26" s="317" t="s">
        <v>186</v>
      </c>
    </row>
    <row r="27" spans="1:6" ht="15" x14ac:dyDescent="0.2">
      <c r="A27" s="315" t="s">
        <v>1586</v>
      </c>
      <c r="B27" s="318">
        <f>'DOE25'!G180</f>
        <v>88177.65</v>
      </c>
      <c r="F27" s="315" t="s">
        <v>1598</v>
      </c>
    </row>
    <row r="28" spans="1:6" ht="15" x14ac:dyDescent="0.2">
      <c r="A28" s="315" t="s">
        <v>1588</v>
      </c>
      <c r="B28" s="318">
        <f>'DOE25'!L362</f>
        <v>0</v>
      </c>
      <c r="F28" s="315" t="s">
        <v>1599</v>
      </c>
    </row>
    <row r="31" spans="1:6" ht="15" x14ac:dyDescent="0.2">
      <c r="A31" s="315" t="s">
        <v>1628</v>
      </c>
      <c r="B31" s="318">
        <f>'DOE25'!G466</f>
        <v>93974.34</v>
      </c>
      <c r="F31" s="315" t="s">
        <v>1600</v>
      </c>
    </row>
    <row r="33" spans="1:6" ht="15" x14ac:dyDescent="0.2">
      <c r="A33" s="315" t="s">
        <v>1629</v>
      </c>
      <c r="B33" s="318">
        <f>'DOE25'!G477</f>
        <v>84360.820000000065</v>
      </c>
      <c r="F33" s="315" t="s">
        <v>1601</v>
      </c>
    </row>
    <row r="36" spans="1:6" ht="15" x14ac:dyDescent="0.2">
      <c r="A36" s="315" t="s">
        <v>1587</v>
      </c>
      <c r="B36" s="329">
        <v>34205.699999999997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LONDONDERRY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19587618.790000003</v>
      </c>
      <c r="C9" s="229">
        <f>'DOE25'!G198+'DOE25'!G216+'DOE25'!G234+'DOE25'!G277+'DOE25'!G296+'DOE25'!G315</f>
        <v>10557344.73</v>
      </c>
    </row>
    <row r="10" spans="1:3" x14ac:dyDescent="0.2">
      <c r="A10" t="s">
        <v>775</v>
      </c>
      <c r="B10" s="240">
        <f>18687179.73+10337.23+15951+4666.31+59811.57+38489+8832.93+15000+5000+15000+0.03</f>
        <v>18860267.800000001</v>
      </c>
      <c r="C10" s="240">
        <f>B10*0.54</f>
        <v>10184544.612000002</v>
      </c>
    </row>
    <row r="11" spans="1:3" x14ac:dyDescent="0.2">
      <c r="A11" t="s">
        <v>776</v>
      </c>
      <c r="B11" s="240">
        <f>378504.67</f>
        <v>378504.67</v>
      </c>
      <c r="C11" s="240">
        <v>187911.57</v>
      </c>
    </row>
    <row r="12" spans="1:3" x14ac:dyDescent="0.2">
      <c r="A12" t="s">
        <v>777</v>
      </c>
      <c r="B12" s="240">
        <v>348846.32</v>
      </c>
      <c r="C12" s="240">
        <f>B12*0.53</f>
        <v>184888.5496</v>
      </c>
    </row>
    <row r="13" spans="1:3" x14ac:dyDescent="0.2">
      <c r="A13" t="str">
        <f>IF(B9=B13,IF(C9=C13,"Check Total OK","Check Total Error"),"Check Total Error")</f>
        <v>Check Total Error</v>
      </c>
      <c r="B13" s="231">
        <f>SUM(B10:B12)</f>
        <v>19587618.790000003</v>
      </c>
      <c r="C13" s="231">
        <f>SUM(C10:C12)</f>
        <v>10557344.731600001</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9056392.709999999</v>
      </c>
      <c r="C18" s="229">
        <f>'DOE25'!G199+'DOE25'!G217+'DOE25'!G235+'DOE25'!G278+'DOE25'!G297+'DOE25'!G316</f>
        <v>4786046.37</v>
      </c>
    </row>
    <row r="19" spans="1:3" x14ac:dyDescent="0.2">
      <c r="A19" t="s">
        <v>775</v>
      </c>
      <c r="B19" s="240">
        <f>5839843.58+8239</f>
        <v>5848082.5800000001</v>
      </c>
      <c r="C19" s="240">
        <f>B19*0.55</f>
        <v>3216445.4190000002</v>
      </c>
    </row>
    <row r="20" spans="1:3" x14ac:dyDescent="0.2">
      <c r="A20" t="s">
        <v>776</v>
      </c>
      <c r="B20" s="240">
        <f>2563169.68</f>
        <v>2563169.6800000002</v>
      </c>
      <c r="C20" s="240">
        <v>1221225.1100000001</v>
      </c>
    </row>
    <row r="21" spans="1:3" x14ac:dyDescent="0.2">
      <c r="A21" t="s">
        <v>777</v>
      </c>
      <c r="B21" s="240">
        <f>166498.61+34385.76+60548.9+383707.18</f>
        <v>645140.44999999995</v>
      </c>
      <c r="C21" s="240">
        <f>B21*0.54</f>
        <v>348375.84299999999</v>
      </c>
    </row>
    <row r="22" spans="1:3" x14ac:dyDescent="0.2">
      <c r="A22" t="str">
        <f>IF(B18=B22,IF(C18=C22,"Check Total OK","Check Total Error"),"Check Total Error")</f>
        <v>Check Total Error</v>
      </c>
      <c r="B22" s="231">
        <f>SUM(B19:B21)</f>
        <v>9056392.709999999</v>
      </c>
      <c r="C22" s="231">
        <f>SUM(C19:C21)</f>
        <v>4786046.3720000004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1071611.48</v>
      </c>
      <c r="C36" s="235">
        <f>'DOE25'!G201+'DOE25'!G219+'DOE25'!G237+'DOE25'!G280+'DOE25'!G299+'DOE25'!G318</f>
        <v>556358.62</v>
      </c>
    </row>
    <row r="37" spans="1:3" x14ac:dyDescent="0.2">
      <c r="A37" t="s">
        <v>775</v>
      </c>
      <c r="B37" s="240">
        <v>800483.42</v>
      </c>
      <c r="C37" s="240">
        <f>B37*0.52</f>
        <v>416251.37840000005</v>
      </c>
    </row>
    <row r="38" spans="1:3" x14ac:dyDescent="0.2">
      <c r="A38" t="s">
        <v>776</v>
      </c>
      <c r="B38" s="240">
        <v>46350.58</v>
      </c>
      <c r="C38" s="240">
        <v>23222.95</v>
      </c>
    </row>
    <row r="39" spans="1:3" x14ac:dyDescent="0.2">
      <c r="A39" t="s">
        <v>777</v>
      </c>
      <c r="B39" s="240">
        <f>102052.69+122724.79</f>
        <v>224777.47999999998</v>
      </c>
      <c r="C39" s="240">
        <f>B39*0.52</f>
        <v>116884.28959999999</v>
      </c>
    </row>
    <row r="40" spans="1:3" x14ac:dyDescent="0.2">
      <c r="A40" t="str">
        <f>IF(B36=B40,IF(C36=C40,"Check Total OK","Check Total Error"),"Check Total Error")</f>
        <v>Check Total Error</v>
      </c>
      <c r="B40" s="231">
        <f>SUM(B37:B39)</f>
        <v>1071611.48</v>
      </c>
      <c r="C40" s="231">
        <f>SUM(C37:C39)</f>
        <v>556358.61800000002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LONDONDERRY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47243569.189999998</v>
      </c>
      <c r="D5" s="20">
        <f>SUM('DOE25'!L198:L201)+SUM('DOE25'!L216:L219)+SUM('DOE25'!L234:L237)-F5-G5-H5</f>
        <v>47015436.769999996</v>
      </c>
      <c r="E5" s="243"/>
      <c r="F5" s="244"/>
      <c r="G5" s="53">
        <f>SUM('DOE25'!J198:J201)+SUM('DOE25'!J216:J219)+SUM('DOE25'!J234:J237)</f>
        <v>180963.53999999998</v>
      </c>
      <c r="H5" s="53">
        <f>SUM('DOE25'!K198:K201)+SUM('DOE25'!K216:K219)+SUM('DOE25'!K234:K237)</f>
        <v>47168.88</v>
      </c>
      <c r="I5" s="254"/>
    </row>
    <row r="6" spans="1:9" x14ac:dyDescent="0.2">
      <c r="A6" s="32">
        <v>2100</v>
      </c>
      <c r="B6" t="s">
        <v>796</v>
      </c>
      <c r="C6" s="273">
        <f t="shared" si="0"/>
        <v>7132309.3499999996</v>
      </c>
      <c r="D6" s="20">
        <f>'DOE25'!L203+'DOE25'!L221+'DOE25'!L239-F6-G6-H6</f>
        <v>7130664.3499999996</v>
      </c>
      <c r="E6" s="243"/>
      <c r="F6" s="244"/>
      <c r="G6" s="53">
        <f>'DOE25'!J203+'DOE25'!J221+'DOE25'!J239</f>
        <v>0</v>
      </c>
      <c r="H6" s="53">
        <f>'DOE25'!K203+'DOE25'!K221+'DOE25'!K239</f>
        <v>1645</v>
      </c>
      <c r="I6" s="254"/>
    </row>
    <row r="7" spans="1:9" x14ac:dyDescent="0.2">
      <c r="A7" s="32">
        <v>2200</v>
      </c>
      <c r="B7" t="s">
        <v>821</v>
      </c>
      <c r="C7" s="273">
        <f t="shared" si="0"/>
        <v>1668664.4900000002</v>
      </c>
      <c r="D7" s="20">
        <f>'DOE25'!L204+'DOE25'!L222+'DOE25'!L240-F7-G7-H7</f>
        <v>1667552.4900000002</v>
      </c>
      <c r="E7" s="243"/>
      <c r="F7" s="244"/>
      <c r="G7" s="53">
        <f>'DOE25'!J204+'DOE25'!J222+'DOE25'!J240</f>
        <v>0</v>
      </c>
      <c r="H7" s="53">
        <f>'DOE25'!K204+'DOE25'!K222+'DOE25'!K240</f>
        <v>1112</v>
      </c>
      <c r="I7" s="254"/>
    </row>
    <row r="8" spans="1:9" x14ac:dyDescent="0.2">
      <c r="A8" s="32">
        <v>2300</v>
      </c>
      <c r="B8" t="s">
        <v>797</v>
      </c>
      <c r="C8" s="273">
        <f t="shared" si="0"/>
        <v>1272130.7000000002</v>
      </c>
      <c r="D8" s="243"/>
      <c r="E8" s="20">
        <f>'DOE25'!L205+'DOE25'!L223+'DOE25'!L241-F8-G8-H8-D9-D11</f>
        <v>1253156.8700000001</v>
      </c>
      <c r="F8" s="244"/>
      <c r="G8" s="53">
        <f>'DOE25'!J205+'DOE25'!J223+'DOE25'!J241</f>
        <v>0</v>
      </c>
      <c r="H8" s="53">
        <f>'DOE25'!K205+'DOE25'!K223+'DOE25'!K241</f>
        <v>18973.830000000002</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3894422.1100000003</v>
      </c>
      <c r="D12" s="20">
        <f>'DOE25'!L206+'DOE25'!L224+'DOE25'!L242-F12-G12-H12</f>
        <v>3880228.5000000005</v>
      </c>
      <c r="E12" s="243"/>
      <c r="F12" s="244"/>
      <c r="G12" s="53">
        <f>'DOE25'!J206+'DOE25'!J224+'DOE25'!J242</f>
        <v>0</v>
      </c>
      <c r="H12" s="53">
        <f>'DOE25'!K206+'DOE25'!K224+'DOE25'!K242</f>
        <v>14193.61</v>
      </c>
      <c r="I12" s="254"/>
    </row>
    <row r="13" spans="1:9" x14ac:dyDescent="0.2">
      <c r="A13" s="32">
        <v>2500</v>
      </c>
      <c r="B13" t="s">
        <v>798</v>
      </c>
      <c r="C13" s="273">
        <f t="shared" si="0"/>
        <v>1097145.54</v>
      </c>
      <c r="D13" s="243"/>
      <c r="E13" s="20">
        <f>'DOE25'!L207+'DOE25'!L225+'DOE25'!L243-F13-G13-H13</f>
        <v>1097145.54</v>
      </c>
      <c r="F13" s="244"/>
      <c r="G13" s="53">
        <f>'DOE25'!J207+'DOE25'!J225+'DOE25'!J243</f>
        <v>0</v>
      </c>
      <c r="H13" s="53">
        <f>'DOE25'!K207+'DOE25'!K225+'DOE25'!K243</f>
        <v>0</v>
      </c>
      <c r="I13" s="254"/>
    </row>
    <row r="14" spans="1:9" x14ac:dyDescent="0.2">
      <c r="A14" s="32">
        <v>2600</v>
      </c>
      <c r="B14" t="s">
        <v>819</v>
      </c>
      <c r="C14" s="273">
        <f t="shared" si="0"/>
        <v>7507158.6500000004</v>
      </c>
      <c r="D14" s="20">
        <f>'DOE25'!L208+'DOE25'!L226+'DOE25'!L244-F14-G14-H14</f>
        <v>7336626.3200000003</v>
      </c>
      <c r="E14" s="243"/>
      <c r="F14" s="244"/>
      <c r="G14" s="53">
        <f>'DOE25'!J208+'DOE25'!J226+'DOE25'!J244</f>
        <v>169802.33000000002</v>
      </c>
      <c r="H14" s="53">
        <f>'DOE25'!K208+'DOE25'!K226+'DOE25'!K244</f>
        <v>730</v>
      </c>
      <c r="I14" s="254"/>
    </row>
    <row r="15" spans="1:9" x14ac:dyDescent="0.2">
      <c r="A15" s="32">
        <v>2700</v>
      </c>
      <c r="B15" t="s">
        <v>799</v>
      </c>
      <c r="C15" s="273">
        <f t="shared" si="0"/>
        <v>4140272.95</v>
      </c>
      <c r="D15" s="20">
        <f>'DOE25'!L209+'DOE25'!L227+'DOE25'!L245-F15-G15-H15</f>
        <v>4140272.95</v>
      </c>
      <c r="E15" s="243"/>
      <c r="F15" s="244"/>
      <c r="G15" s="53">
        <f>'DOE25'!J209+'DOE25'!J227+'DOE25'!J245</f>
        <v>0</v>
      </c>
      <c r="H15" s="53">
        <f>'DOE25'!K209+'DOE25'!K227+'DOE25'!K245</f>
        <v>0</v>
      </c>
      <c r="I15" s="254"/>
    </row>
    <row r="16" spans="1:9" x14ac:dyDescent="0.2">
      <c r="A16" s="32">
        <v>2800</v>
      </c>
      <c r="B16" t="s">
        <v>800</v>
      </c>
      <c r="C16" s="273">
        <f t="shared" si="0"/>
        <v>1901233.65</v>
      </c>
      <c r="D16" s="243"/>
      <c r="E16" s="20">
        <f>'DOE25'!L210+'DOE25'!L228+'DOE25'!L246-F16-G16-H16</f>
        <v>1393024.04</v>
      </c>
      <c r="F16" s="244"/>
      <c r="G16" s="53">
        <f>'DOE25'!J210+'DOE25'!J228+'DOE25'!J246</f>
        <v>508209.61</v>
      </c>
      <c r="H16" s="53">
        <f>'DOE25'!K210+'DOE25'!K228+'DOE25'!K246</f>
        <v>0</v>
      </c>
      <c r="I16" s="254"/>
    </row>
    <row r="17" spans="1:9" x14ac:dyDescent="0.2">
      <c r="A17" s="32">
        <v>1600</v>
      </c>
      <c r="B17" t="s">
        <v>801</v>
      </c>
      <c r="C17" s="273">
        <f t="shared" si="0"/>
        <v>70464.12</v>
      </c>
      <c r="D17" s="20">
        <f>'DOE25'!L252-F17-G17-H17</f>
        <v>70464.12</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1981689.5</v>
      </c>
      <c r="D25" s="243"/>
      <c r="E25" s="243"/>
      <c r="F25" s="253"/>
      <c r="G25" s="251"/>
      <c r="H25" s="251"/>
      <c r="I25" s="252">
        <f>'DOE25'!L261+'DOE25'!L262+'DOE25'!L342+'DOE25'!L343</f>
        <v>1981689.5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863129.90999999992</v>
      </c>
      <c r="D29" s="281">
        <f>'DOE25'!L359+'DOE25'!L360+'DOE25'!L361-'DOE25'!I368-F29-G29-H29</f>
        <v>783941.52999999991</v>
      </c>
      <c r="E29" s="243"/>
      <c r="F29" s="244"/>
      <c r="G29" s="53">
        <f>'DOE25'!J359+'DOE25'!J360+'DOE25'!J361</f>
        <v>54850.53</v>
      </c>
      <c r="H29" s="53">
        <f>'DOE25'!K359+'DOE25'!K360+'DOE25'!K361</f>
        <v>24337.85</v>
      </c>
      <c r="I29" s="254"/>
    </row>
    <row r="30" spans="1:9" x14ac:dyDescent="0.2">
      <c r="A30" s="32"/>
      <c r="C30" s="274"/>
      <c r="D30" s="20"/>
      <c r="E30" s="278"/>
      <c r="F30" s="268"/>
      <c r="G30" s="53"/>
      <c r="H30" s="53"/>
      <c r="I30" s="254"/>
    </row>
    <row r="31" spans="1:9" x14ac:dyDescent="0.2">
      <c r="A31" s="32" t="s">
        <v>818</v>
      </c>
      <c r="B31" t="s">
        <v>817</v>
      </c>
      <c r="C31" s="273">
        <f>SUM(D31:I31)</f>
        <v>3080427.81</v>
      </c>
      <c r="D31" s="20">
        <f>'DOE25'!L291+'DOE25'!L310+'DOE25'!L329+'DOE25'!L334+'DOE25'!L335+'DOE25'!L336-F31-G31-H31</f>
        <v>2491205.0100000002</v>
      </c>
      <c r="E31" s="243"/>
      <c r="F31" s="244"/>
      <c r="G31" s="53">
        <f>'DOE25'!J291+'DOE25'!J310+'DOE25'!J329+'DOE25'!J334+'DOE25'!J335+'DOE25'!J336</f>
        <v>589222.79999999993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74516392.040000007</v>
      </c>
      <c r="E33" s="245">
        <f t="shared" si="1"/>
        <v>3743326.45</v>
      </c>
      <c r="F33" s="245">
        <f t="shared" si="1"/>
        <v>0</v>
      </c>
      <c r="G33" s="245">
        <f t="shared" si="1"/>
        <v>1503048.81</v>
      </c>
      <c r="H33" s="245">
        <f t="shared" si="1"/>
        <v>108161.16999999998</v>
      </c>
      <c r="I33" s="245">
        <f t="shared" si="1"/>
        <v>1981689.5</v>
      </c>
    </row>
    <row r="35" spans="1:9" ht="12" thickBot="1" x14ac:dyDescent="0.25">
      <c r="B35" s="249" t="s">
        <v>831</v>
      </c>
      <c r="D35" s="250">
        <f>E33</f>
        <v>3743326.45</v>
      </c>
      <c r="E35" s="246"/>
      <c r="F35" s="333" t="s">
        <v>1632</v>
      </c>
      <c r="G35" s="334"/>
      <c r="H35" s="334"/>
      <c r="I35" s="334"/>
    </row>
    <row r="36" spans="1:9" ht="12" thickTop="1" x14ac:dyDescent="0.2">
      <c r="B36" t="s">
        <v>810</v>
      </c>
      <c r="D36" s="20">
        <f>D33</f>
        <v>74516392.040000007</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8" sqref="D6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LONDONDERRY SCHOOL DISTRICT</v>
      </c>
      <c r="B2" s="126">
        <f>'DOE25'!B2</f>
        <v>319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34190385.189999998</v>
      </c>
      <c r="G4" s="300">
        <f>'DOE25'!L212+'DOE25'!L291</f>
        <v>34190385.189999998</v>
      </c>
      <c r="H4" s="353">
        <f>F4-G4</f>
        <v>0</v>
      </c>
      <c r="I4" s="371" t="str">
        <f>IF(H4=0,"","ISSUES!! Please review page 7 and 11 totals in comparison with total on this page")</f>
        <v/>
      </c>
      <c r="N4"/>
    </row>
    <row r="5" spans="1:18" x14ac:dyDescent="0.2">
      <c r="A5" s="21" t="s">
        <v>1202</v>
      </c>
      <c r="B5" s="301">
        <f>IFERROR(VLOOKUP(A5,'School Tables'!$C$3:$D$365,2,FALSE),"")</f>
        <v>27905</v>
      </c>
      <c r="C5" s="294" t="str">
        <f>IFERROR(INDEX('School Tables'!$B$3:$B$365,MATCH('School Level Expenditures'!B5,'School Tables'!$D$3:$D$365,0)),"")</f>
        <v>Londonderry</v>
      </c>
      <c r="D5" s="291">
        <f>2802528.02+188758.33+1905206.35+696296.7+413003.64</f>
        <v>6005793.04</v>
      </c>
      <c r="E5" s="291">
        <f>10804.37+248391.38+15172.27+82718.38</f>
        <v>357086.4</v>
      </c>
      <c r="F5" s="304">
        <f>D5+E5</f>
        <v>6362879.4400000004</v>
      </c>
      <c r="G5" s="294"/>
      <c r="H5" s="294"/>
      <c r="I5" s="372"/>
      <c r="N5"/>
    </row>
    <row r="6" spans="1:18" x14ac:dyDescent="0.2">
      <c r="A6" s="21" t="s">
        <v>1206</v>
      </c>
      <c r="B6" s="301">
        <f>IFERROR(VLOOKUP(A6,'School Tables'!$C$3:$D$365,2,FALSE),"")</f>
        <v>20485</v>
      </c>
      <c r="C6" s="294" t="str">
        <f>IFERROR(INDEX('School Tables'!$B$3:$B$365,MATCH('School Level Expenditures'!B6,'School Tables'!$D$3:$D$365,0)),"")</f>
        <v>Londonderry</v>
      </c>
      <c r="D6" s="291">
        <f>4480894.04+236611.72+2907946.54+1062768.65+656915.85</f>
        <v>9345136.7999999989</v>
      </c>
      <c r="E6" s="291">
        <f>23923.96+170794.42+33595.75+126254.36+78826.48</f>
        <v>433394.97</v>
      </c>
      <c r="F6" s="304">
        <f t="shared" ref="F6:F20" si="0">D6+E6</f>
        <v>9778531.7699999996</v>
      </c>
      <c r="G6" s="294"/>
      <c r="H6" s="294"/>
      <c r="I6" s="372"/>
      <c r="N6"/>
    </row>
    <row r="7" spans="1:18" x14ac:dyDescent="0.2">
      <c r="A7" s="21" t="s">
        <v>1203</v>
      </c>
      <c r="B7" s="301">
        <f>IFERROR(VLOOKUP(A7,'School Tables'!$C$3:$D$365,2,FALSE),"")</f>
        <v>20470</v>
      </c>
      <c r="C7" s="294" t="str">
        <f>IFERROR(INDEX('School Tables'!$B$3:$B$365,MATCH('School Level Expenditures'!B7,'School Tables'!$D$3:$D$365,0)),"")</f>
        <v>Londonderry</v>
      </c>
      <c r="D7" s="291">
        <f>4023806.57+3000.67+2707398.5+989474.26+608319.82</f>
        <v>8331999.8200000003</v>
      </c>
      <c r="E7" s="291">
        <f>22380.47+36751.34+31004.01+31428.28+117547.16+0.03</f>
        <v>239111.29</v>
      </c>
      <c r="F7" s="304">
        <f t="shared" si="0"/>
        <v>8571111.1099999994</v>
      </c>
      <c r="G7" s="294"/>
      <c r="H7" s="294"/>
      <c r="I7" s="354"/>
      <c r="N7"/>
    </row>
    <row r="8" spans="1:18" x14ac:dyDescent="0.2">
      <c r="A8" s="21" t="s">
        <v>1204</v>
      </c>
      <c r="B8" s="301">
        <f>IFERROR(VLOOKUP(A8,'School Tables'!$C$3:$D$365,2,FALSE),"")</f>
        <v>20475</v>
      </c>
      <c r="C8" s="294" t="str">
        <f>IFERROR(INDEX('School Tables'!$B$3:$B$365,MATCH('School Level Expenditures'!B8,'School Tables'!$D$3:$D$365,0)),"")</f>
        <v>Londonderry</v>
      </c>
      <c r="D8" s="291">
        <f>3816664.69+765704.87+2506850.46+916179.88+595543.17</f>
        <v>8600943.0700000003</v>
      </c>
      <c r="E8" s="291">
        <f>20065.25+415349.11+17509.95+28177.08+108839.97</f>
        <v>589941.36</v>
      </c>
      <c r="F8" s="304">
        <f t="shared" si="0"/>
        <v>9190884.4299999997</v>
      </c>
      <c r="G8" s="294"/>
      <c r="H8" s="294"/>
      <c r="I8" s="354"/>
      <c r="N8"/>
    </row>
    <row r="9" spans="1:18" x14ac:dyDescent="0.2">
      <c r="A9" s="21" t="s">
        <v>1555</v>
      </c>
      <c r="B9" s="301">
        <f>IFERROR(VLOOKUP(A9,'School Tables'!$C$3:$D$365,2,FALSE),"")</f>
        <v>99999</v>
      </c>
      <c r="C9" s="294" t="str">
        <f>IFERROR(INDEX('School Tables'!$B$3:$B$365,MATCH('School Level Expenditures'!B9,'School Tables'!$D$3:$D$365,0)),"")</f>
        <v>Other District Expenditures</v>
      </c>
      <c r="D9" s="291">
        <v>286978.44</v>
      </c>
      <c r="E9" s="291"/>
      <c r="F9" s="304">
        <f t="shared" si="0"/>
        <v>286978.44</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32570851.170000002</v>
      </c>
      <c r="E21" s="351">
        <f>SUM(E5:E20)</f>
        <v>1619534.02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17365654.220000003</v>
      </c>
      <c r="G24" s="300">
        <f>'DOE25'!L230+'DOE25'!L310</f>
        <v>17365654.220000003</v>
      </c>
      <c r="H24" s="353">
        <f>F24-G24</f>
        <v>0</v>
      </c>
      <c r="I24" s="371" t="str">
        <f>IF(H24=0,"","ISSUES!! Please review page 8 and 12 totals in comparison with total on this page")</f>
        <v/>
      </c>
      <c r="N24"/>
    </row>
    <row r="25" spans="1:14" x14ac:dyDescent="0.2">
      <c r="A25" s="21" t="s">
        <v>1205</v>
      </c>
      <c r="B25" s="301">
        <f>IFERROR(VLOOKUP(A25,'School Tables'!$I$3:$J$80,2,FALSE),"")</f>
        <v>20480</v>
      </c>
      <c r="C25" s="294" t="str">
        <f t="array" ref="C25">IFERROR(INDEX('School Tables'!$H$3:$H$80,MATCH('School Level Expenditures'!B25,'School Tables'!$J$3:$J$80,0)),"")</f>
        <v>Londonderry</v>
      </c>
      <c r="D25" s="291">
        <f>('DOE25'!L230)-D26</f>
        <v>16278930.490000002</v>
      </c>
      <c r="E25" s="291">
        <f>'DOE25'!L310</f>
        <v>449715.98</v>
      </c>
      <c r="F25" s="304">
        <f>D25+E25</f>
        <v>16728646.470000003</v>
      </c>
      <c r="G25" s="294"/>
      <c r="H25" s="294"/>
      <c r="I25" s="372"/>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f>637007.75</f>
        <v>637007.75</v>
      </c>
      <c r="E26" s="291"/>
      <c r="F26" s="304">
        <f t="shared" ref="F26:F32" si="1">D26+E26</f>
        <v>637007.75</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16915938.240000002</v>
      </c>
      <c r="E33" s="351">
        <f>SUM(E25:E32)</f>
        <v>449715.98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27349479.379999999</v>
      </c>
      <c r="G36" s="300">
        <f>'DOE25'!L248+'DOE25'!L329</f>
        <v>27349479.379999999</v>
      </c>
      <c r="H36" s="353">
        <f>F36-G36</f>
        <v>0</v>
      </c>
      <c r="I36" s="371" t="str">
        <f>IF(H36=0,"","ISSUES!! Please review page 9 and 13 totals in comparison with total on this page")</f>
        <v/>
      </c>
      <c r="N36"/>
    </row>
    <row r="37" spans="1:14" x14ac:dyDescent="0.2">
      <c r="A37" s="21" t="s">
        <v>1207</v>
      </c>
      <c r="B37" s="301">
        <f>IFERROR(VLOOKUP(A37,'School Tables'!$O$3:$P$118,2,FALSE),"")</f>
        <v>20490</v>
      </c>
      <c r="C37" s="294" t="str">
        <f t="array" ref="C37">IFERROR(INDEX('School Tables'!$N$3:$N$118,MATCH('School Level Expenditures'!B37,'School Tables'!$P$3:$P$118,0)),"")</f>
        <v>Londonderry</v>
      </c>
      <c r="D37" s="291">
        <f>('DOE25'!L248)-D38</f>
        <v>25384310</v>
      </c>
      <c r="E37" s="291">
        <f>'DOE25'!L329</f>
        <v>979362.16</v>
      </c>
      <c r="F37" s="304">
        <f t="shared" ref="F37:F42" si="2">D37+E37</f>
        <v>26363672.16</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102862.07+12585+863874.51+6485.64</f>
        <v>985807.22000000009</v>
      </c>
      <c r="E38" s="291"/>
      <c r="F38" s="304">
        <f t="shared" si="2"/>
        <v>985807.22000000009</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26370117.219999999</v>
      </c>
      <c r="E43" s="352">
        <f>SUM(E37:E42)</f>
        <v>979362.16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LONDONDERRY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3443180.12</v>
      </c>
      <c r="D8" s="95">
        <f>'DOE25'!G9</f>
        <v>5900</v>
      </c>
      <c r="E8" s="95">
        <f>'DOE25'!H9</f>
        <v>0</v>
      </c>
      <c r="F8" s="95">
        <f>'DOE25'!I9</f>
        <v>0</v>
      </c>
      <c r="G8" s="95">
        <f>'DOE25'!J9</f>
        <v>601461.04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736434.74</v>
      </c>
      <c r="D11" s="95">
        <f>'DOE25'!G12</f>
        <v>0</v>
      </c>
      <c r="E11" s="95">
        <f>'DOE25'!H12</f>
        <v>0</v>
      </c>
      <c r="F11" s="95">
        <f>'DOE25'!I12</f>
        <v>0</v>
      </c>
      <c r="G11" s="95">
        <f>'DOE25'!J12</f>
        <v>0</v>
      </c>
      <c r="H11" s="124"/>
      <c r="I11" s="124"/>
    </row>
    <row r="12" spans="1:9" x14ac:dyDescent="0.2">
      <c r="A12" s="1" t="s">
        <v>143</v>
      </c>
      <c r="B12" s="6">
        <v>140</v>
      </c>
      <c r="C12" s="95">
        <f>'DOE25'!F13</f>
        <v>0</v>
      </c>
      <c r="D12" s="95">
        <f>'DOE25'!G13</f>
        <v>170533.39</v>
      </c>
      <c r="E12" s="95">
        <f>'DOE25'!H13</f>
        <v>767346.12</v>
      </c>
      <c r="F12" s="95">
        <f>'DOE25'!I13</f>
        <v>0</v>
      </c>
      <c r="G12" s="95">
        <f>'DOE25'!J13</f>
        <v>0</v>
      </c>
      <c r="H12" s="124"/>
      <c r="I12" s="124"/>
    </row>
    <row r="13" spans="1:9" x14ac:dyDescent="0.2">
      <c r="A13" s="1" t="s">
        <v>144</v>
      </c>
      <c r="B13" s="6">
        <v>150</v>
      </c>
      <c r="C13" s="95">
        <f>'DOE25'!F14</f>
        <v>396</v>
      </c>
      <c r="D13" s="95">
        <f>'DOE25'!G14</f>
        <v>17335.88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34360.82</v>
      </c>
      <c r="E15" s="95">
        <f>'DOE25'!H16</f>
        <v>0</v>
      </c>
      <c r="F15" s="95">
        <f>'DOE25'!I16</f>
        <v>0</v>
      </c>
      <c r="G15" s="24" t="s">
        <v>288</v>
      </c>
      <c r="H15" s="124"/>
      <c r="I15" s="124"/>
    </row>
    <row r="16" spans="1:9" x14ac:dyDescent="0.2">
      <c r="A16" s="1" t="s">
        <v>147</v>
      </c>
      <c r="B16" s="6">
        <v>180</v>
      </c>
      <c r="C16" s="95">
        <f>'DOE25'!F17</f>
        <v>39811.980000000003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4219822.8400000008</v>
      </c>
      <c r="D18" s="41">
        <f>SUM(D8:D17)</f>
        <v>228130.09000000003</v>
      </c>
      <c r="E18" s="41">
        <f>SUM(E8:E17)</f>
        <v>767346.12</v>
      </c>
      <c r="F18" s="41">
        <f>SUM(F8:F17)</f>
        <v>0</v>
      </c>
      <c r="G18" s="41">
        <f>SUM(G8:G17)</f>
        <v>601461.04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10923.87</v>
      </c>
      <c r="E21" s="95">
        <f>'DOE25'!H22</f>
        <v>681033.4</v>
      </c>
      <c r="F21" s="95">
        <f>'DOE25'!I22</f>
        <v>0</v>
      </c>
      <c r="G21" s="95">
        <f>'DOE25'!J22</f>
        <v>44477.47</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348035.46</v>
      </c>
      <c r="D23" s="95">
        <f>'DOE25'!G24</f>
        <v>115848.58</v>
      </c>
      <c r="E23" s="95">
        <f>'DOE25'!H24</f>
        <v>24853.91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698539.84</v>
      </c>
      <c r="D27" s="95">
        <f>'DOE25'!G28</f>
        <v>16996.82</v>
      </c>
      <c r="E27" s="95">
        <f>'DOE25'!H28</f>
        <v>40625.99</v>
      </c>
      <c r="F27" s="95">
        <f>'DOE25'!I28</f>
        <v>0</v>
      </c>
      <c r="G27" s="24" t="s">
        <v>288</v>
      </c>
      <c r="H27" s="124"/>
      <c r="I27" s="124"/>
    </row>
    <row r="28" spans="1:9" x14ac:dyDescent="0.2">
      <c r="A28" s="1" t="s">
        <v>157</v>
      </c>
      <c r="B28" s="6">
        <v>470</v>
      </c>
      <c r="C28" s="95">
        <f>'DOE25'!F29</f>
        <v>191595.73</v>
      </c>
      <c r="D28" s="95">
        <f>'DOE25'!G29</f>
        <v>0</v>
      </c>
      <c r="E28" s="95">
        <f>'DOE25'!H29</f>
        <v>0</v>
      </c>
      <c r="F28" s="95">
        <f>'DOE25'!I29</f>
        <v>0</v>
      </c>
      <c r="G28" s="24" t="s">
        <v>288</v>
      </c>
      <c r="H28" s="124"/>
      <c r="I28" s="124"/>
    </row>
    <row r="29" spans="1:9" x14ac:dyDescent="0.2">
      <c r="A29" s="1" t="s">
        <v>158</v>
      </c>
      <c r="B29" s="6">
        <v>480</v>
      </c>
      <c r="C29" s="95">
        <f>'DOE25'!F30</f>
        <v>8480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1246651.03</v>
      </c>
      <c r="D31" s="41">
        <f>SUM(D21:D30)</f>
        <v>143769.26999999999</v>
      </c>
      <c r="E31" s="41">
        <f>SUM(E21:E30)</f>
        <v>746513.3</v>
      </c>
      <c r="F31" s="41">
        <f>SUM(F21:F30)</f>
        <v>0</v>
      </c>
      <c r="G31" s="41">
        <f>SUM(G21:G30)</f>
        <v>44477.47</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34360.82</v>
      </c>
      <c r="E34" s="95">
        <f>'DOE25'!H35</f>
        <v>0</v>
      </c>
      <c r="F34" s="95">
        <f>'DOE25'!I35</f>
        <v>0</v>
      </c>
      <c r="G34" s="24" t="s">
        <v>288</v>
      </c>
      <c r="H34" s="124"/>
      <c r="I34" s="124"/>
    </row>
    <row r="35" spans="1:9" x14ac:dyDescent="0.2">
      <c r="A35" s="1" t="s">
        <v>850</v>
      </c>
      <c r="B35" s="6">
        <v>752</v>
      </c>
      <c r="C35" s="95">
        <f>'DOE25'!F36</f>
        <v>39811.980000000003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50000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34649.760000000002</v>
      </c>
      <c r="D42" s="95">
        <f>'DOE25'!G43</f>
        <v>0</v>
      </c>
      <c r="E42" s="95">
        <f>'DOE25'!H43</f>
        <v>20832.82</v>
      </c>
      <c r="F42" s="95">
        <f>'DOE25'!I43</f>
        <v>0</v>
      </c>
      <c r="G42" s="95">
        <f>'DOE25'!J43</f>
        <v>0</v>
      </c>
      <c r="H42" s="124"/>
      <c r="I42" s="124"/>
    </row>
    <row r="43" spans="1:9" x14ac:dyDescent="0.2">
      <c r="A43" s="1" t="s">
        <v>863</v>
      </c>
      <c r="B43" s="6">
        <v>755</v>
      </c>
      <c r="C43" s="95">
        <f>'DOE25'!F44</f>
        <v>196000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556983.56999999995</v>
      </c>
      <c r="H47" s="124"/>
      <c r="I47" s="124"/>
    </row>
    <row r="48" spans="1:9" x14ac:dyDescent="0.2">
      <c r="A48" s="1" t="s">
        <v>882</v>
      </c>
      <c r="B48" s="6">
        <v>753</v>
      </c>
      <c r="C48" s="95">
        <f>'DOE25'!F49</f>
        <v>128643</v>
      </c>
      <c r="D48" s="95">
        <f>'DOE25'!G49</f>
        <v>0</v>
      </c>
      <c r="E48" s="95">
        <f>'DOE25'!H49</f>
        <v>0</v>
      </c>
      <c r="F48" s="95">
        <f>'DOE25'!I49</f>
        <v>0</v>
      </c>
      <c r="G48" s="95">
        <f>'DOE25'!J49</f>
        <v>0</v>
      </c>
      <c r="H48" s="124"/>
      <c r="I48" s="124"/>
    </row>
    <row r="49" spans="1:9" ht="12" thickBot="1" x14ac:dyDescent="0.25">
      <c r="A49" s="29" t="s">
        <v>883</v>
      </c>
      <c r="B49" s="71">
        <v>770</v>
      </c>
      <c r="C49" s="95">
        <f>'DOE25'!F50</f>
        <v>1324067.07</v>
      </c>
      <c r="D49" s="24" t="s">
        <v>288</v>
      </c>
      <c r="E49" s="24" t="s">
        <v>288</v>
      </c>
      <c r="F49" s="24" t="s">
        <v>288</v>
      </c>
      <c r="G49" s="24" t="s">
        <v>288</v>
      </c>
      <c r="H49" s="124"/>
      <c r="I49" s="124"/>
    </row>
    <row r="50" spans="1:9" ht="12.75" thickTop="1" thickBot="1" x14ac:dyDescent="0.25">
      <c r="A50" s="38" t="s">
        <v>884</v>
      </c>
      <c r="B50" s="48"/>
      <c r="C50" s="41">
        <f>SUM(C34:C49)</f>
        <v>2973171.81</v>
      </c>
      <c r="D50" s="41">
        <f>SUM(D34:D49)</f>
        <v>84360.82</v>
      </c>
      <c r="E50" s="41">
        <f>SUM(E34:E49)</f>
        <v>20832.82</v>
      </c>
      <c r="F50" s="41">
        <f>SUM(F34:F49)</f>
        <v>0</v>
      </c>
      <c r="G50" s="41">
        <f>SUM(G34:G49)</f>
        <v>556983.56999999995</v>
      </c>
      <c r="H50" s="124"/>
      <c r="I50" s="124"/>
    </row>
    <row r="51" spans="1:9" ht="12" thickTop="1" x14ac:dyDescent="0.2">
      <c r="A51" s="38" t="s">
        <v>885</v>
      </c>
      <c r="B51" s="2"/>
      <c r="C51" s="41">
        <f>C50+C31</f>
        <v>4219822.84</v>
      </c>
      <c r="D51" s="41">
        <f>D50+D31</f>
        <v>228130.09</v>
      </c>
      <c r="E51" s="41">
        <f>E50+E31</f>
        <v>767346.12</v>
      </c>
      <c r="F51" s="41">
        <f>F50+F31</f>
        <v>0</v>
      </c>
      <c r="G51" s="41">
        <f>G50+G31</f>
        <v>601461.03999999992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59006065</v>
      </c>
      <c r="D56" s="95">
        <f>'DOE25'!G60</f>
        <v>0</v>
      </c>
      <c r="E56" s="95">
        <f>'DOE25'!H60</f>
        <v>0</v>
      </c>
      <c r="F56" s="95">
        <f>'DOE25'!I60</f>
        <v>0</v>
      </c>
      <c r="G56" s="95">
        <f>'DOE25'!J60</f>
        <v>0</v>
      </c>
      <c r="H56"/>
      <c r="I56"/>
    </row>
    <row r="57" spans="1:9" x14ac:dyDescent="0.2">
      <c r="A57" s="1" t="s">
        <v>164</v>
      </c>
      <c r="B57" s="6" t="s">
        <v>165</v>
      </c>
      <c r="C57" s="95">
        <f>'DOE25'!F79</f>
        <v>1511824.17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4825.3900000000003</v>
      </c>
      <c r="D59" s="95">
        <f>'DOE25'!G96</f>
        <v>1.5</v>
      </c>
      <c r="E59" s="95">
        <f>'DOE25'!H96</f>
        <v>0</v>
      </c>
      <c r="F59" s="95">
        <f>'DOE25'!I96</f>
        <v>0</v>
      </c>
      <c r="G59" s="95">
        <f>'DOE25'!J96</f>
        <v>1593.62</v>
      </c>
      <c r="H59"/>
      <c r="I59"/>
    </row>
    <row r="60" spans="1:9" x14ac:dyDescent="0.2">
      <c r="A60" s="1" t="s">
        <v>170</v>
      </c>
      <c r="B60" s="118" t="s">
        <v>171</v>
      </c>
      <c r="C60" s="24" t="s">
        <v>288</v>
      </c>
      <c r="D60" s="95">
        <f>'DOE25'!G97</f>
        <v>124351.58</v>
      </c>
      <c r="E60" s="24" t="s">
        <v>288</v>
      </c>
      <c r="F60" s="24" t="s">
        <v>288</v>
      </c>
      <c r="G60" s="24" t="s">
        <v>288</v>
      </c>
      <c r="H60"/>
      <c r="I60"/>
    </row>
    <row r="61" spans="1:9" ht="12" thickBot="1" x14ac:dyDescent="0.25">
      <c r="A61" s="1" t="s">
        <v>172</v>
      </c>
      <c r="B61" s="118" t="s">
        <v>173</v>
      </c>
      <c r="C61" s="95">
        <f>SUM('DOE25'!F98:F110)</f>
        <v>24237.05</v>
      </c>
      <c r="D61" s="95">
        <f>SUM('DOE25'!G98:G110)</f>
        <v>23854.37</v>
      </c>
      <c r="E61" s="95">
        <f>SUM('DOE25'!H98:H110)</f>
        <v>8250</v>
      </c>
      <c r="F61" s="95">
        <f>SUM('DOE25'!I98:I110)</f>
        <v>0</v>
      </c>
      <c r="G61" s="95">
        <f>SUM('DOE25'!J98:J110)</f>
        <v>0</v>
      </c>
      <c r="H61"/>
      <c r="I61"/>
    </row>
    <row r="62" spans="1:9" ht="12.75" thickTop="1" thickBot="1" x14ac:dyDescent="0.25">
      <c r="A62" s="29" t="s">
        <v>174</v>
      </c>
      <c r="B62" s="6"/>
      <c r="C62" s="130">
        <f>SUM(C57:C61)</f>
        <v>1540886.6099999999</v>
      </c>
      <c r="D62" s="130">
        <f>SUM(D57:D61)</f>
        <v>148207.45000000001</v>
      </c>
      <c r="E62" s="130">
        <f>SUM(E57:E61)</f>
        <v>8250</v>
      </c>
      <c r="F62" s="130">
        <f>SUM(F57:F61)</f>
        <v>0</v>
      </c>
      <c r="G62" s="130">
        <f>SUM(G57:G61)</f>
        <v>1593.62</v>
      </c>
      <c r="H62"/>
      <c r="I62"/>
    </row>
    <row r="63" spans="1:9" ht="12" thickTop="1" x14ac:dyDescent="0.2">
      <c r="A63" s="29" t="s">
        <v>175</v>
      </c>
      <c r="B63" s="6"/>
      <c r="C63" s="22">
        <f>C56+C62</f>
        <v>60546951.609999999</v>
      </c>
      <c r="D63" s="22">
        <f>D56+D62</f>
        <v>148207.45000000001</v>
      </c>
      <c r="E63" s="22">
        <f>E56+E62</f>
        <v>8250</v>
      </c>
      <c r="F63" s="22">
        <f>F56+F62</f>
        <v>0</v>
      </c>
      <c r="G63" s="22">
        <f>G56+G62</f>
        <v>1593.62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10363957.470000001</v>
      </c>
      <c r="D66" s="24" t="s">
        <v>288</v>
      </c>
      <c r="E66" s="24" t="s">
        <v>288</v>
      </c>
      <c r="F66" s="24" t="s">
        <v>288</v>
      </c>
      <c r="G66" s="24" t="s">
        <v>288</v>
      </c>
      <c r="H66"/>
      <c r="I66"/>
    </row>
    <row r="67" spans="1:9" x14ac:dyDescent="0.2">
      <c r="A67" s="1" t="s">
        <v>770</v>
      </c>
      <c r="B67" s="6">
        <v>3112</v>
      </c>
      <c r="C67" s="95">
        <f>'DOE25'!F118</f>
        <v>7551810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6207.1</v>
      </c>
      <c r="D69" s="95">
        <f>'DOE25'!G120</f>
        <v>0</v>
      </c>
      <c r="E69" s="95">
        <f>'DOE25'!H120</f>
        <v>0</v>
      </c>
      <c r="F69" s="95">
        <f>'DOE25'!I120</f>
        <v>0</v>
      </c>
      <c r="G69" s="95">
        <f>'DOE25'!J120</f>
        <v>0</v>
      </c>
      <c r="H69"/>
      <c r="I69"/>
    </row>
    <row r="70" spans="1:9" ht="12" thickTop="1" x14ac:dyDescent="0.2">
      <c r="A70" s="29" t="s">
        <v>252</v>
      </c>
      <c r="B70" s="2"/>
      <c r="C70" s="139">
        <f>SUM(C66:C69)</f>
        <v>17921974.57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475194.51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318485.09999999998</v>
      </c>
      <c r="D75" s="24" t="s">
        <v>288</v>
      </c>
      <c r="E75" s="24" t="s">
        <v>288</v>
      </c>
      <c r="F75" s="24" t="s">
        <v>288</v>
      </c>
      <c r="G75" s="24" t="s">
        <v>288</v>
      </c>
      <c r="H75"/>
      <c r="I75"/>
    </row>
    <row r="76" spans="1:9" x14ac:dyDescent="0.2">
      <c r="A76" s="1" t="s">
        <v>257</v>
      </c>
      <c r="B76" s="6" t="s">
        <v>179</v>
      </c>
      <c r="C76" s="95">
        <f>SUM('DOE25'!F127:F130)</f>
        <v>24573.48</v>
      </c>
      <c r="D76" s="24" t="s">
        <v>288</v>
      </c>
      <c r="E76" s="95">
        <f>SUM('DOE25'!H127:H130)</f>
        <v>4650</v>
      </c>
      <c r="F76" s="95">
        <f>SUM('DOE25'!I127:I130)</f>
        <v>0</v>
      </c>
      <c r="G76" s="24" t="s">
        <v>288</v>
      </c>
      <c r="H76"/>
      <c r="I76"/>
    </row>
    <row r="77" spans="1:9" ht="12" thickBot="1" x14ac:dyDescent="0.25">
      <c r="A77" s="1" t="s">
        <v>258</v>
      </c>
      <c r="B77" s="6" t="s">
        <v>180</v>
      </c>
      <c r="C77" s="95">
        <f>SUM('DOE25'!F131:F135)</f>
        <v>0</v>
      </c>
      <c r="D77" s="95">
        <f>SUM('DOE25'!G131:G135)</f>
        <v>13092.15</v>
      </c>
      <c r="E77" s="95">
        <f>SUM('DOE25'!H131:H135)</f>
        <v>0</v>
      </c>
      <c r="F77" s="95">
        <f>SUM('DOE25'!I131:I135)</f>
        <v>0</v>
      </c>
      <c r="G77" s="95">
        <f>SUM('DOE25'!J131:J135)</f>
        <v>0</v>
      </c>
      <c r="H77"/>
      <c r="I77"/>
    </row>
    <row r="78" spans="1:9" ht="12.75" thickTop="1" thickBot="1" x14ac:dyDescent="0.25">
      <c r="A78" s="29" t="s">
        <v>259</v>
      </c>
      <c r="B78" s="6"/>
      <c r="C78" s="130">
        <f>SUM(C72:C77)</f>
        <v>818253.09</v>
      </c>
      <c r="D78" s="130">
        <f>SUM(D72:D77)</f>
        <v>13092.15</v>
      </c>
      <c r="E78" s="130">
        <f>SUM(E72:E77)</f>
        <v>4650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18740227.66</v>
      </c>
      <c r="D81" s="130">
        <f>SUM(D79:D80)+D78+D70</f>
        <v>13092.15</v>
      </c>
      <c r="E81" s="130">
        <f>SUM(E79:E80)+E78+E70</f>
        <v>4650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110347.27</v>
      </c>
      <c r="D88" s="331">
        <f>SUM('DOE25'!G153:G162)</f>
        <v>1092379.8500000001</v>
      </c>
      <c r="E88" s="331">
        <f>SUM('DOE25'!H153:H162)</f>
        <v>3044175.7540000002</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110347.27</v>
      </c>
      <c r="D91" s="131">
        <f>SUM(D85:D90)</f>
        <v>1092379.8500000001</v>
      </c>
      <c r="E91" s="131">
        <f>SUM(E85:E90)</f>
        <v>3044175.7540000002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88177.65</v>
      </c>
      <c r="E96" s="95">
        <f>'DOE25'!H180</f>
        <v>0</v>
      </c>
      <c r="F96" s="95">
        <f>'DOE25'!I180</f>
        <v>0</v>
      </c>
      <c r="G96" s="95">
        <f>'DOE25'!J180</f>
        <v>1000000</v>
      </c>
    </row>
    <row r="97" spans="1:7" x14ac:dyDescent="0.2">
      <c r="A97" t="s">
        <v>754</v>
      </c>
      <c r="B97" s="32" t="s">
        <v>188</v>
      </c>
      <c r="C97" s="95">
        <f>SUM('DOE25'!F181:F182)</f>
        <v>0</v>
      </c>
      <c r="D97" s="95">
        <f>SUM('DOE25'!G181:G182)</f>
        <v>39754.58</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356464.25</v>
      </c>
      <c r="D99" s="95">
        <f>'DOE25'!G186</f>
        <v>0</v>
      </c>
      <c r="E99" s="95">
        <f>'DOE25'!H186</f>
        <v>0</v>
      </c>
      <c r="F99" s="95">
        <f>'DOE25'!I186</f>
        <v>0</v>
      </c>
      <c r="G99" s="24" t="s">
        <v>288</v>
      </c>
    </row>
    <row r="100" spans="1:7" x14ac:dyDescent="0.2">
      <c r="A100" t="s">
        <v>757</v>
      </c>
      <c r="B100" s="32" t="s">
        <v>190</v>
      </c>
      <c r="C100" s="95">
        <f>SUM('DOE25'!F187:F188)</f>
        <v>381134.67</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737598.91999999993</v>
      </c>
      <c r="D103" s="86">
        <f>SUM(D93:D102)</f>
        <v>127932.23</v>
      </c>
      <c r="E103" s="86">
        <f>SUM(E93:E102)</f>
        <v>0</v>
      </c>
      <c r="F103" s="86">
        <f>SUM(F93:F102)</f>
        <v>0</v>
      </c>
      <c r="G103" s="86">
        <f>SUM(G93:G102)</f>
        <v>1000000</v>
      </c>
    </row>
    <row r="104" spans="1:7" ht="12.75" thickTop="1" thickBot="1" x14ac:dyDescent="0.25">
      <c r="A104" s="33" t="s">
        <v>761</v>
      </c>
      <c r="C104" s="86">
        <f>C63+C81+C91+C103</f>
        <v>80135125.459999993</v>
      </c>
      <c r="D104" s="86">
        <f>D63+D81+D91+D103</f>
        <v>1381611.6800000002</v>
      </c>
      <c r="E104" s="86">
        <f>E63+E81+E91+E103</f>
        <v>3057075.7540000002</v>
      </c>
      <c r="F104" s="86">
        <f>F63+F81+F91+F103</f>
        <v>0</v>
      </c>
      <c r="G104" s="86">
        <f>G63+G81+G103</f>
        <v>1001593.62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30626312.240000002</v>
      </c>
      <c r="D109" s="24" t="s">
        <v>288</v>
      </c>
      <c r="E109" s="95">
        <f>('DOE25'!L277)+('DOE25'!L296)+('DOE25'!L315)</f>
        <v>612841.07999999996</v>
      </c>
      <c r="F109" s="24" t="s">
        <v>288</v>
      </c>
      <c r="G109" s="24" t="s">
        <v>288</v>
      </c>
    </row>
    <row r="110" spans="1:7" x14ac:dyDescent="0.2">
      <c r="A110" t="s">
        <v>198</v>
      </c>
      <c r="B110" s="32" t="s">
        <v>199</v>
      </c>
      <c r="C110" s="95">
        <f>('DOE25'!L199)+('DOE25'!L217)+('DOE25'!L235)</f>
        <v>14712096.51</v>
      </c>
      <c r="D110" s="24" t="s">
        <v>288</v>
      </c>
      <c r="E110" s="95">
        <f>('DOE25'!L278)+('DOE25'!L297)+('DOE25'!L316)</f>
        <v>1074916.3999999999</v>
      </c>
      <c r="F110" s="24" t="s">
        <v>288</v>
      </c>
      <c r="G110" s="24" t="s">
        <v>288</v>
      </c>
    </row>
    <row r="111" spans="1:7" x14ac:dyDescent="0.2">
      <c r="A111" t="s">
        <v>200</v>
      </c>
      <c r="B111" s="32" t="s">
        <v>165</v>
      </c>
      <c r="C111" s="95">
        <f>('DOE25'!L200)+('DOE25'!L218)+('DOE25'!L236)</f>
        <v>102862.07</v>
      </c>
      <c r="D111" s="24" t="s">
        <v>288</v>
      </c>
      <c r="E111" s="95">
        <f>('DOE25'!L279)+('DOE25'!L298)+('DOE25'!L317)</f>
        <v>0</v>
      </c>
      <c r="F111" s="24" t="s">
        <v>288</v>
      </c>
      <c r="G111" s="24" t="s">
        <v>288</v>
      </c>
    </row>
    <row r="112" spans="1:7" x14ac:dyDescent="0.2">
      <c r="A112" t="s">
        <v>201</v>
      </c>
      <c r="B112" s="32" t="s">
        <v>167</v>
      </c>
      <c r="C112" s="95">
        <f>('DOE25'!L201)+('DOE25'!L219)+('DOE25'!L237)</f>
        <v>1802298.37</v>
      </c>
      <c r="D112" s="24" t="s">
        <v>288</v>
      </c>
      <c r="E112" s="95">
        <f>+('DOE25'!L280)+('DOE25'!L299)+('DOE25'!L318)</f>
        <v>106023.14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70464.12</v>
      </c>
      <c r="D114" s="24" t="s">
        <v>288</v>
      </c>
      <c r="E114" s="95">
        <f>+ SUM('DOE25'!L334:L336)</f>
        <v>31815.649999999998</v>
      </c>
      <c r="F114" s="24" t="s">
        <v>288</v>
      </c>
      <c r="G114" s="24" t="s">
        <v>288</v>
      </c>
    </row>
    <row r="115" spans="1:7" ht="12.75" thickTop="1" thickBot="1" x14ac:dyDescent="0.25">
      <c r="A115" s="33" t="s">
        <v>205</v>
      </c>
      <c r="C115" s="86">
        <f>SUM(C109:C114)</f>
        <v>47314033.309999995</v>
      </c>
      <c r="D115" s="86">
        <f>SUM(D109:D114)</f>
        <v>0</v>
      </c>
      <c r="E115" s="86">
        <f>SUM(E109:E114)</f>
        <v>1825596.2699999998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7132309.3499999996</v>
      </c>
      <c r="D118" s="24" t="s">
        <v>288</v>
      </c>
      <c r="E118" s="95">
        <f>+('DOE25'!L282)+('DOE25'!L301)+('DOE25'!L320)</f>
        <v>341963.05999999994</v>
      </c>
      <c r="F118" s="24" t="s">
        <v>288</v>
      </c>
      <c r="G118" s="24" t="s">
        <v>288</v>
      </c>
    </row>
    <row r="119" spans="1:7" x14ac:dyDescent="0.2">
      <c r="A119" t="s">
        <v>208</v>
      </c>
      <c r="B119" s="32" t="s">
        <v>209</v>
      </c>
      <c r="C119" s="95">
        <f>('DOE25'!L204)+('DOE25'!L222)+('DOE25'!L240)</f>
        <v>1668664.4900000002</v>
      </c>
      <c r="D119" s="24" t="s">
        <v>288</v>
      </c>
      <c r="E119" s="95">
        <f>+('DOE25'!L283)+('DOE25'!L302)+('DOE25'!L321)</f>
        <v>91260.47</v>
      </c>
      <c r="F119" s="24" t="s">
        <v>288</v>
      </c>
      <c r="G119" s="24" t="s">
        <v>288</v>
      </c>
    </row>
    <row r="120" spans="1:7" x14ac:dyDescent="0.2">
      <c r="A120" t="s">
        <v>210</v>
      </c>
      <c r="B120" s="32" t="s">
        <v>211</v>
      </c>
      <c r="C120" s="95">
        <f>('DOE25'!L205)+('DOE25'!L223)+('DOE25'!L241)</f>
        <v>1272130.7000000002</v>
      </c>
      <c r="D120" s="24" t="s">
        <v>288</v>
      </c>
      <c r="E120" s="95">
        <f>+('DOE25'!L284)+('DOE25'!L303)+('DOE25'!L322)</f>
        <v>60170.5</v>
      </c>
      <c r="F120" s="24" t="s">
        <v>288</v>
      </c>
      <c r="G120" s="24" t="s">
        <v>288</v>
      </c>
    </row>
    <row r="121" spans="1:7" x14ac:dyDescent="0.2">
      <c r="A121" t="s">
        <v>212</v>
      </c>
      <c r="B121" s="32" t="s">
        <v>213</v>
      </c>
      <c r="C121" s="95">
        <f>('DOE25'!L206)+('DOE25'!L224)+('DOE25'!L242)</f>
        <v>3894422.1100000003</v>
      </c>
      <c r="D121" s="24" t="s">
        <v>288</v>
      </c>
      <c r="E121" s="95">
        <f>+('DOE25'!L285)+('DOE25'!L304)+('DOE25'!L323)</f>
        <v>0</v>
      </c>
      <c r="F121" s="24" t="s">
        <v>288</v>
      </c>
      <c r="G121" s="24" t="s">
        <v>288</v>
      </c>
    </row>
    <row r="122" spans="1:7" x14ac:dyDescent="0.2">
      <c r="A122" t="s">
        <v>214</v>
      </c>
      <c r="B122" s="32" t="s">
        <v>215</v>
      </c>
      <c r="C122" s="95">
        <f>('DOE25'!L207)+('DOE25'!L225)+('DOE25'!L243)</f>
        <v>1097145.54</v>
      </c>
      <c r="D122" s="24" t="s">
        <v>288</v>
      </c>
      <c r="E122" s="95">
        <f>+('DOE25'!L286)+('DOE25'!L305)+('DOE25'!L324)</f>
        <v>0</v>
      </c>
      <c r="F122" s="24" t="s">
        <v>288</v>
      </c>
      <c r="G122" s="24" t="s">
        <v>288</v>
      </c>
    </row>
    <row r="123" spans="1:7" x14ac:dyDescent="0.2">
      <c r="A123" t="s">
        <v>216</v>
      </c>
      <c r="B123" s="32" t="s">
        <v>217</v>
      </c>
      <c r="C123" s="95">
        <f>('DOE25'!L208)+('DOE25'!L226)+('DOE25'!L244)</f>
        <v>7507158.6500000004</v>
      </c>
      <c r="D123" s="24" t="s">
        <v>288</v>
      </c>
      <c r="E123" s="95">
        <f>+('DOE25'!L287)+('DOE25'!L306)+('DOE25'!L325)</f>
        <v>522764.93000000005</v>
      </c>
      <c r="F123" s="24" t="s">
        <v>288</v>
      </c>
      <c r="G123" s="24" t="s">
        <v>288</v>
      </c>
    </row>
    <row r="124" spans="1:7" x14ac:dyDescent="0.2">
      <c r="A124" t="s">
        <v>218</v>
      </c>
      <c r="B124" s="32" t="s">
        <v>219</v>
      </c>
      <c r="C124" s="95">
        <f>('DOE25'!L209)+('DOE25'!L227)+('DOE25'!L245+'DOE25'!L255)</f>
        <v>4140272.95</v>
      </c>
      <c r="D124" s="24" t="s">
        <v>288</v>
      </c>
      <c r="E124" s="95">
        <f>+('DOE25'!L288)+('DOE25'!L307)+('DOE25'!L326)</f>
        <v>7390.54</v>
      </c>
      <c r="F124" s="24" t="s">
        <v>288</v>
      </c>
      <c r="G124" s="24" t="s">
        <v>288</v>
      </c>
    </row>
    <row r="125" spans="1:7" x14ac:dyDescent="0.2">
      <c r="A125" t="s">
        <v>220</v>
      </c>
      <c r="B125" s="32" t="s">
        <v>221</v>
      </c>
      <c r="C125" s="95">
        <f>('DOE25'!L210)+('DOE25'!L228)+('DOE25'!L246)</f>
        <v>1901233.6500000001</v>
      </c>
      <c r="D125" s="24" t="s">
        <v>288</v>
      </c>
      <c r="E125" s="95">
        <f>+('DOE25'!L289)+('DOE25'!L308)+('DOE25'!L327)</f>
        <v>231282.04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1391225.2</v>
      </c>
      <c r="E127" s="24" t="s">
        <v>288</v>
      </c>
      <c r="F127" s="24" t="s">
        <v>288</v>
      </c>
      <c r="G127" s="24" t="s">
        <v>288</v>
      </c>
    </row>
    <row r="128" spans="1:7" ht="12.75" thickTop="1" thickBot="1" x14ac:dyDescent="0.25">
      <c r="A128" s="33" t="s">
        <v>226</v>
      </c>
      <c r="C128" s="86">
        <f>SUM(C118:C127)</f>
        <v>28613337.439999994</v>
      </c>
      <c r="D128" s="86">
        <f>SUM(D118:D127)</f>
        <v>1391225.2</v>
      </c>
      <c r="E128" s="86">
        <f>SUM(E118:E127)</f>
        <v>1254831.54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1620000</v>
      </c>
      <c r="D131" s="24" t="s">
        <v>288</v>
      </c>
      <c r="E131" s="129">
        <f>'DOE25'!L342</f>
        <v>0</v>
      </c>
      <c r="F131" s="24" t="s">
        <v>288</v>
      </c>
      <c r="G131" s="24" t="s">
        <v>288</v>
      </c>
    </row>
    <row r="132" spans="1:7" x14ac:dyDescent="0.2">
      <c r="A132" t="s">
        <v>230</v>
      </c>
      <c r="B132" s="32">
        <v>5120</v>
      </c>
      <c r="C132" s="95">
        <f>'DOE25'!L262</f>
        <v>361689.5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737598.91999999993</v>
      </c>
    </row>
    <row r="135" spans="1:7" x14ac:dyDescent="0.2">
      <c r="A135" t="s">
        <v>233</v>
      </c>
      <c r="B135" s="32" t="s">
        <v>234</v>
      </c>
      <c r="C135" s="95">
        <f>'DOE25'!L264</f>
        <v>88177.65</v>
      </c>
      <c r="D135" s="24" t="s">
        <v>288</v>
      </c>
      <c r="E135" s="129">
        <f>'DOE25'!L346</f>
        <v>39754.58</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400448.27999999997</v>
      </c>
      <c r="D138" s="24" t="s">
        <v>288</v>
      </c>
      <c r="E138" s="24" t="s">
        <v>288</v>
      </c>
      <c r="F138" s="24" t="s">
        <v>288</v>
      </c>
      <c r="G138" s="24" t="s">
        <v>288</v>
      </c>
    </row>
    <row r="139" spans="1:7" x14ac:dyDescent="0.2">
      <c r="A139" t="s">
        <v>239</v>
      </c>
      <c r="B139" s="32">
        <v>5252</v>
      </c>
      <c r="C139" s="95">
        <f>'DOE25'!L402</f>
        <v>601145.34000000008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-1593.6200000001118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3069867.1499999994</v>
      </c>
      <c r="D144" s="141">
        <f>SUM(D130:D143)</f>
        <v>0</v>
      </c>
      <c r="E144" s="141">
        <f>SUM(E130:E143)</f>
        <v>39754.58</v>
      </c>
      <c r="F144" s="141">
        <f>SUM(F130:F143)</f>
        <v>0</v>
      </c>
      <c r="G144" s="141">
        <f>SUM(G130:G143)</f>
        <v>737598.91999999993</v>
      </c>
    </row>
    <row r="145" spans="1:9" ht="12.75" thickTop="1" thickBot="1" x14ac:dyDescent="0.25">
      <c r="A145" s="33" t="s">
        <v>244</v>
      </c>
      <c r="C145" s="86">
        <f>(C115+C128+C144)</f>
        <v>78997237.899999991</v>
      </c>
      <c r="D145" s="86">
        <f>(D115+D128+D144)</f>
        <v>1391225.2</v>
      </c>
      <c r="E145" s="86">
        <f>(E115+E128+E144)</f>
        <v>3120182.3899999997</v>
      </c>
      <c r="F145" s="86">
        <f>(F115+F128+F144)</f>
        <v>0</v>
      </c>
      <c r="G145" s="86">
        <f>(G115+G128+G144)</f>
        <v>737598.91999999993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12</v>
      </c>
      <c r="E151" s="153">
        <f>'DOE25'!I491</f>
        <v>10</v>
      </c>
      <c r="F151" s="153">
        <f>'DOE25'!J491</f>
        <v>0</v>
      </c>
      <c r="G151" s="24" t="s">
        <v>288</v>
      </c>
    </row>
    <row r="152" spans="1:9" x14ac:dyDescent="0.2">
      <c r="A152" s="136" t="s">
        <v>28</v>
      </c>
      <c r="B152" s="152" t="str">
        <f>'DOE25'!F492</f>
        <v>04/02</v>
      </c>
      <c r="C152" s="152" t="str">
        <f>'DOE25'!G492</f>
        <v>05/2017</v>
      </c>
      <c r="D152" s="152" t="str">
        <f>'DOE25'!H492</f>
        <v>05/14</v>
      </c>
      <c r="E152" s="152" t="str">
        <f>'DOE25'!I492</f>
        <v>07/14</v>
      </c>
      <c r="F152" s="152">
        <f>'DOE25'!J492</f>
        <v>0</v>
      </c>
      <c r="G152" s="24" t="s">
        <v>288</v>
      </c>
    </row>
    <row r="153" spans="1:9" x14ac:dyDescent="0.2">
      <c r="A153" s="136" t="s">
        <v>29</v>
      </c>
      <c r="B153" s="152" t="str">
        <f>'DOE25'!F493</f>
        <v>07/22</v>
      </c>
      <c r="C153" s="152" t="str">
        <f>'DOE25'!G493</f>
        <v>07/2028</v>
      </c>
      <c r="D153" s="152" t="str">
        <f>'DOE25'!H493</f>
        <v>08/25</v>
      </c>
      <c r="E153" s="152" t="str">
        <f>'DOE25'!I493</f>
        <v>07/24</v>
      </c>
      <c r="F153" s="152">
        <f>'DOE25'!J493</f>
        <v>0</v>
      </c>
      <c r="G153" s="24" t="s">
        <v>288</v>
      </c>
    </row>
    <row r="154" spans="1:9" x14ac:dyDescent="0.2">
      <c r="A154" s="136" t="s">
        <v>30</v>
      </c>
      <c r="B154" s="137">
        <f>'DOE25'!F494</f>
        <v>12030000</v>
      </c>
      <c r="C154" s="137">
        <f>'DOE25'!G494</f>
        <v>2720000</v>
      </c>
      <c r="D154" s="137">
        <f>'DOE25'!H494</f>
        <v>2955000</v>
      </c>
      <c r="E154" s="137">
        <f>'DOE25'!I494</f>
        <v>3895000</v>
      </c>
      <c r="F154" s="137">
        <f>'DOE25'!J494</f>
        <v>0</v>
      </c>
      <c r="G154" s="24" t="s">
        <v>288</v>
      </c>
    </row>
    <row r="155" spans="1:9" x14ac:dyDescent="0.2">
      <c r="A155" s="136" t="s">
        <v>31</v>
      </c>
      <c r="B155" s="137">
        <f>'DOE25'!F495</f>
        <v>4.57</v>
      </c>
      <c r="C155" s="137">
        <f>'DOE25'!G495</f>
        <v>2.69</v>
      </c>
      <c r="D155" s="137">
        <f>'DOE25'!H495</f>
        <v>1.94</v>
      </c>
      <c r="E155" s="137">
        <f>'DOE25'!I495</f>
        <v>2.14</v>
      </c>
      <c r="F155" s="137">
        <f>'DOE25'!J495</f>
        <v>0</v>
      </c>
      <c r="G155" s="24" t="s">
        <v>288</v>
      </c>
    </row>
    <row r="156" spans="1:9" x14ac:dyDescent="0.2">
      <c r="A156" s="22" t="s">
        <v>32</v>
      </c>
      <c r="B156" s="137">
        <f>'DOE25'!F496</f>
        <v>1995000</v>
      </c>
      <c r="C156" s="137">
        <f>'DOE25'!G496</f>
        <v>2370000</v>
      </c>
      <c r="D156" s="137">
        <f>'DOE25'!H496</f>
        <v>1665000</v>
      </c>
      <c r="E156" s="137">
        <f>'DOE25'!I496</f>
        <v>1945000</v>
      </c>
      <c r="F156" s="137">
        <f>'DOE25'!J496</f>
        <v>0</v>
      </c>
      <c r="G156" s="138">
        <f>SUM(B156:F156)</f>
        <v>7975000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665000</v>
      </c>
      <c r="C158" s="137">
        <f>'DOE25'!G498</f>
        <v>275000</v>
      </c>
      <c r="D158" s="137">
        <f>'DOE25'!H498</f>
        <v>290000</v>
      </c>
      <c r="E158" s="137">
        <f>'DOE25'!I498</f>
        <v>390000</v>
      </c>
      <c r="F158" s="137">
        <f>'DOE25'!J498</f>
        <v>0</v>
      </c>
      <c r="G158" s="138">
        <f t="shared" si="0"/>
        <v>1620000</v>
      </c>
    </row>
    <row r="159" spans="1:9" x14ac:dyDescent="0.2">
      <c r="A159" s="22" t="s">
        <v>35</v>
      </c>
      <c r="B159" s="137">
        <f>'DOE25'!F499</f>
        <v>1330000</v>
      </c>
      <c r="C159" s="137">
        <f>'DOE25'!G499</f>
        <v>2095000</v>
      </c>
      <c r="D159" s="137">
        <f>'DOE25'!H499</f>
        <v>1375000</v>
      </c>
      <c r="E159" s="137">
        <f>'DOE25'!I499</f>
        <v>1555000</v>
      </c>
      <c r="F159" s="137">
        <f>'DOE25'!J499</f>
        <v>0</v>
      </c>
      <c r="G159" s="138">
        <f t="shared" si="0"/>
        <v>6355000</v>
      </c>
    </row>
    <row r="160" spans="1:9" x14ac:dyDescent="0.2">
      <c r="A160" s="22" t="s">
        <v>36</v>
      </c>
      <c r="B160" s="137">
        <f>'DOE25'!F500</f>
        <v>66500</v>
      </c>
      <c r="C160" s="137">
        <f>'DOE25'!G500</f>
        <v>221879.34</v>
      </c>
      <c r="D160" s="137">
        <f>'DOE25'!H500</f>
        <v>79571.899999999994</v>
      </c>
      <c r="E160" s="137">
        <f>'DOE25'!I500</f>
        <v>93075</v>
      </c>
      <c r="F160" s="137">
        <f>'DOE25'!J500</f>
        <v>0</v>
      </c>
      <c r="G160" s="138">
        <f t="shared" si="0"/>
        <v>461026.24</v>
      </c>
    </row>
    <row r="161" spans="1:7" x14ac:dyDescent="0.2">
      <c r="A161" s="22" t="s">
        <v>37</v>
      </c>
      <c r="B161" s="137">
        <f>'DOE25'!F501</f>
        <v>1396500</v>
      </c>
      <c r="C161" s="137">
        <f>'DOE25'!G501</f>
        <v>2316879.34</v>
      </c>
      <c r="D161" s="137">
        <f>'DOE25'!H501</f>
        <v>1454571.9</v>
      </c>
      <c r="E161" s="137">
        <f>'DOE25'!I501</f>
        <v>1648075</v>
      </c>
      <c r="F161" s="137">
        <f>'DOE25'!J501</f>
        <v>0</v>
      </c>
      <c r="G161" s="138">
        <f t="shared" si="0"/>
        <v>6816026.2400000002</v>
      </c>
    </row>
    <row r="162" spans="1:7" x14ac:dyDescent="0.2">
      <c r="A162" s="22" t="s">
        <v>38</v>
      </c>
      <c r="B162" s="137">
        <f>'DOE25'!F502</f>
        <v>665000</v>
      </c>
      <c r="C162" s="137">
        <f>'DOE25'!G502</f>
        <v>270000</v>
      </c>
      <c r="D162" s="137">
        <f>'DOE25'!H502</f>
        <v>285000</v>
      </c>
      <c r="E162" s="137">
        <f>'DOE25'!I502</f>
        <v>390000</v>
      </c>
      <c r="F162" s="137">
        <f>'DOE25'!J502</f>
        <v>0</v>
      </c>
      <c r="G162" s="138">
        <f t="shared" si="0"/>
        <v>1610000</v>
      </c>
    </row>
    <row r="163" spans="1:7" x14ac:dyDescent="0.2">
      <c r="A163" s="22" t="s">
        <v>39</v>
      </c>
      <c r="B163" s="137">
        <f>'DOE25'!F503</f>
        <v>49875</v>
      </c>
      <c r="C163" s="137">
        <f>'DOE25'!G503</f>
        <v>52631.58</v>
      </c>
      <c r="D163" s="137">
        <f>'DOE25'!H503</f>
        <v>28565.63</v>
      </c>
      <c r="E163" s="137">
        <f>'DOE25'!I503</f>
        <v>40800</v>
      </c>
      <c r="F163" s="137">
        <f>'DOE25'!J503</f>
        <v>0</v>
      </c>
      <c r="G163" s="138">
        <f t="shared" si="0"/>
        <v>171872.21</v>
      </c>
    </row>
    <row r="164" spans="1:7" x14ac:dyDescent="0.2">
      <c r="A164" s="22" t="s">
        <v>246</v>
      </c>
      <c r="B164" s="137">
        <f>'DOE25'!F504</f>
        <v>714875</v>
      </c>
      <c r="C164" s="137">
        <f>'DOE25'!G504</f>
        <v>322631.58</v>
      </c>
      <c r="D164" s="137">
        <f>'DOE25'!H504</f>
        <v>313565.63</v>
      </c>
      <c r="E164" s="137">
        <f>'DOE25'!I504</f>
        <v>430800</v>
      </c>
      <c r="F164" s="137">
        <f>'DOE25'!J504</f>
        <v>0</v>
      </c>
      <c r="G164" s="138">
        <f t="shared" si="0"/>
        <v>1781872.21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K37" sqref="K3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LONDONDERRY SCHOOL DISTRICT</v>
      </c>
    </row>
    <row r="3" spans="1:4" x14ac:dyDescent="0.2">
      <c r="B3" s="188" t="s">
        <v>1666</v>
      </c>
    </row>
    <row r="4" spans="1:4" x14ac:dyDescent="0.2">
      <c r="B4" t="s">
        <v>61</v>
      </c>
      <c r="C4" s="179">
        <f>IF('DOE25'!F666+'DOE25'!F671=0,0,ROUND('DOE25'!F673,0))</f>
        <v>19819</v>
      </c>
    </row>
    <row r="5" spans="1:4" x14ac:dyDescent="0.2">
      <c r="B5" t="s">
        <v>700</v>
      </c>
      <c r="C5" s="179">
        <f>IF('DOE25'!G666+'DOE25'!G671=0,0,ROUND('DOE25'!G673,0))</f>
        <v>17577</v>
      </c>
    </row>
    <row r="6" spans="1:4" x14ac:dyDescent="0.2">
      <c r="B6" t="s">
        <v>62</v>
      </c>
      <c r="C6" s="179">
        <f>IF('DOE25'!H666+'DOE25'!H671=0,0,ROUND('DOE25'!H673,0))</f>
        <v>18061</v>
      </c>
    </row>
    <row r="7" spans="1:4" x14ac:dyDescent="0.2">
      <c r="B7" t="s">
        <v>701</v>
      </c>
      <c r="C7" s="179">
        <f>IF('DOE25'!I666+'DOE25'!I671=0,0,ROUND('DOE25'!I673,0))</f>
        <v>18675</v>
      </c>
    </row>
    <row r="9" spans="1:4" x14ac:dyDescent="0.2">
      <c r="A9" s="187" t="s">
        <v>94</v>
      </c>
      <c r="B9" s="188" t="s">
        <v>1671</v>
      </c>
      <c r="C9" s="181" t="s">
        <v>720</v>
      </c>
      <c r="D9" s="181" t="s">
        <v>721</v>
      </c>
    </row>
    <row r="10" spans="1:4" x14ac:dyDescent="0.2">
      <c r="A10">
        <v>1100</v>
      </c>
      <c r="B10" t="s">
        <v>702</v>
      </c>
      <c r="C10" s="179">
        <f>ROUND('DOE25'!L198+'DOE25'!L216+'DOE25'!L234+'DOE25'!L277+'DOE25'!L296+'DOE25'!L315,0)</f>
        <v>31239153</v>
      </c>
      <c r="D10" s="182">
        <f>ROUND((C10/$C$28)*100,1)</f>
        <v>38.799999999999997</v>
      </c>
    </row>
    <row r="11" spans="1:4" x14ac:dyDescent="0.2">
      <c r="A11">
        <v>1200</v>
      </c>
      <c r="B11" t="s">
        <v>703</v>
      </c>
      <c r="C11" s="179">
        <f>ROUND('DOE25'!L199+'DOE25'!L217+'DOE25'!L235+'DOE25'!L278+'DOE25'!L297+'DOE25'!L316,0)</f>
        <v>15787013</v>
      </c>
      <c r="D11" s="182">
        <f>ROUND((C11/$C$28)*100,1)</f>
        <v>19.600000000000001</v>
      </c>
    </row>
    <row r="12" spans="1:4" x14ac:dyDescent="0.2">
      <c r="A12">
        <v>1300</v>
      </c>
      <c r="B12" t="s">
        <v>704</v>
      </c>
      <c r="C12" s="179">
        <f>ROUND('DOE25'!L200+'DOE25'!L218+'DOE25'!L236+'DOE25'!L279+'DOE25'!L298+'DOE25'!L317,0)</f>
        <v>102862</v>
      </c>
      <c r="D12" s="182">
        <f>ROUND((C12/$C$28)*100,1)</f>
        <v>0.1</v>
      </c>
    </row>
    <row r="13" spans="1:4" x14ac:dyDescent="0.2">
      <c r="A13">
        <v>1400</v>
      </c>
      <c r="B13" t="s">
        <v>705</v>
      </c>
      <c r="C13" s="179">
        <f>ROUND('DOE25'!L201+'DOE25'!L219+'DOE25'!L237+'DOE25'!L280+'DOE25'!L299+'DOE25'!L318,0)</f>
        <v>1908322</v>
      </c>
      <c r="D13" s="182">
        <f>ROUND((C13/$C$28)*100,1)</f>
        <v>2.4</v>
      </c>
    </row>
    <row r="14" spans="1:4" x14ac:dyDescent="0.2">
      <c r="D14" s="182"/>
    </row>
    <row r="15" spans="1:4" x14ac:dyDescent="0.2">
      <c r="A15">
        <v>2100</v>
      </c>
      <c r="B15" t="s">
        <v>706</v>
      </c>
      <c r="C15" s="179">
        <f>ROUND('DOE25'!L203+'DOE25'!L221+'DOE25'!L239+'DOE25'!L282+'DOE25'!L301+'DOE25'!L320,0)</f>
        <v>7474272</v>
      </c>
      <c r="D15" s="182">
        <f t="shared" ref="D15:D27" si="0">ROUND((C15/$C$28)*100,1)</f>
        <v>9.3000000000000007</v>
      </c>
    </row>
    <row r="16" spans="1:4" x14ac:dyDescent="0.2">
      <c r="A16">
        <v>2200</v>
      </c>
      <c r="B16" t="s">
        <v>707</v>
      </c>
      <c r="C16" s="179">
        <f>ROUND('DOE25'!L204+'DOE25'!L222+'DOE25'!L240+'DOE25'!L283+'DOE25'!L302+'DOE25'!L321,0)</f>
        <v>1759925</v>
      </c>
      <c r="D16" s="182">
        <f t="shared" si="0"/>
        <v>2.2000000000000002</v>
      </c>
    </row>
    <row r="17" spans="1:4" x14ac:dyDescent="0.2">
      <c r="A17" s="183" t="s">
        <v>723</v>
      </c>
      <c r="B17" t="s">
        <v>738</v>
      </c>
      <c r="C17" s="179">
        <f>ROUND('DOE25'!L205+'DOE25'!L210+'DOE25'!L223+'DOE25'!L228+'DOE25'!L241+'DOE25'!L246+'DOE25'!L284+'DOE25'!L289+'DOE25'!L303+'DOE25'!L308+'DOE25'!L322+'DOE25'!L327,0)</f>
        <v>3464817</v>
      </c>
      <c r="D17" s="182">
        <f t="shared" si="0"/>
        <v>4.3</v>
      </c>
    </row>
    <row r="18" spans="1:4" x14ac:dyDescent="0.2">
      <c r="A18">
        <v>2400</v>
      </c>
      <c r="B18" t="s">
        <v>711</v>
      </c>
      <c r="C18" s="179">
        <f>ROUND('DOE25'!L206+'DOE25'!L224+'DOE25'!L242+'DOE25'!L285+'DOE25'!L304+'DOE25'!L323,0)</f>
        <v>3894422</v>
      </c>
      <c r="D18" s="182">
        <f t="shared" si="0"/>
        <v>4.8</v>
      </c>
    </row>
    <row r="19" spans="1:4" x14ac:dyDescent="0.2">
      <c r="A19">
        <v>2500</v>
      </c>
      <c r="B19" t="s">
        <v>708</v>
      </c>
      <c r="C19" s="179">
        <f>ROUND('DOE25'!L207+'DOE25'!L225+'DOE25'!L243+'DOE25'!L286+'DOE25'!L305+'DOE25'!L324,0)</f>
        <v>1097146</v>
      </c>
      <c r="D19" s="182">
        <f t="shared" si="0"/>
        <v>1.4</v>
      </c>
    </row>
    <row r="20" spans="1:4" x14ac:dyDescent="0.2">
      <c r="A20">
        <v>2600</v>
      </c>
      <c r="B20" t="s">
        <v>709</v>
      </c>
      <c r="C20" s="179">
        <f>ROUND('DOE25'!L208+'DOE25'!L226+'DOE25'!L244+'DOE25'!L287+'DOE25'!L306+'DOE25'!L325,0)</f>
        <v>8029924</v>
      </c>
      <c r="D20" s="182">
        <f t="shared" si="0"/>
        <v>10</v>
      </c>
    </row>
    <row r="21" spans="1:4" x14ac:dyDescent="0.2">
      <c r="A21">
        <v>2700</v>
      </c>
      <c r="B21" t="s">
        <v>710</v>
      </c>
      <c r="C21" s="179">
        <f>ROUND('DOE25'!L209+'DOE25'!L227+'DOE25'!L245+'DOE25'!L288+'DOE25'!L307+'DOE25'!L326,0)</f>
        <v>4147663</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102280</v>
      </c>
      <c r="D24" s="182">
        <f t="shared" si="0"/>
        <v>0.1</v>
      </c>
    </row>
    <row r="25" spans="1:4" x14ac:dyDescent="0.2">
      <c r="A25">
        <v>5120</v>
      </c>
      <c r="B25" t="s">
        <v>716</v>
      </c>
      <c r="C25" s="179">
        <f>ROUND('DOE25'!L262+'DOE25'!L343,0)</f>
        <v>361690</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1243019.05</v>
      </c>
      <c r="D27" s="182">
        <f t="shared" si="0"/>
        <v>1.5</v>
      </c>
    </row>
    <row r="28" spans="1:4" x14ac:dyDescent="0.2">
      <c r="B28" s="187" t="s">
        <v>719</v>
      </c>
      <c r="C28" s="180">
        <f>SUM(C10:C27)</f>
        <v>80612508.049999997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80612508.049999997</v>
      </c>
    </row>
    <row r="31" spans="1:4" x14ac:dyDescent="0.2">
      <c r="B31" s="33"/>
      <c r="C31" s="180"/>
    </row>
    <row r="32" spans="1:4" x14ac:dyDescent="0.2">
      <c r="A32">
        <v>5100</v>
      </c>
      <c r="B32" s="33" t="s">
        <v>726</v>
      </c>
      <c r="C32" s="180">
        <f>ROUND('DOE25'!L261+'DOE25'!L342,0)</f>
        <v>1620000</v>
      </c>
    </row>
    <row r="34" spans="1:4" x14ac:dyDescent="0.2">
      <c r="A34" s="187" t="s">
        <v>94</v>
      </c>
      <c r="B34" s="188" t="s">
        <v>1667</v>
      </c>
      <c r="C34" s="181" t="s">
        <v>720</v>
      </c>
      <c r="D34" s="181" t="s">
        <v>721</v>
      </c>
    </row>
    <row r="35" spans="1:4" x14ac:dyDescent="0.2">
      <c r="A35">
        <v>1100</v>
      </c>
      <c r="B35" s="185" t="s">
        <v>727</v>
      </c>
      <c r="C35" s="179">
        <f>ROUND('DOE25'!F60+'DOE25'!G60+'DOE25'!H60+'DOE25'!I60+'DOE25'!J60,0)</f>
        <v>59006065</v>
      </c>
      <c r="D35" s="182">
        <f t="shared" ref="D35:D40" si="1">ROUND((C35/$C$41)*100,1)</f>
        <v>70.599999999999994</v>
      </c>
    </row>
    <row r="36" spans="1:4" x14ac:dyDescent="0.2">
      <c r="B36" s="185" t="s">
        <v>739</v>
      </c>
      <c r="C36" s="179">
        <f>SUM('DOE25'!F112:J112)-SUM('DOE25'!G97:G110)+('DOE25'!F175+'DOE25'!F176+'DOE25'!I175+'DOE25'!I176)-C35</f>
        <v>1550731.7299999967</v>
      </c>
      <c r="D36" s="182">
        <f t="shared" si="1"/>
        <v>1.9</v>
      </c>
    </row>
    <row r="37" spans="1:4" x14ac:dyDescent="0.2">
      <c r="A37" s="183" t="s">
        <v>835</v>
      </c>
      <c r="B37" s="185" t="s">
        <v>728</v>
      </c>
      <c r="C37" s="179">
        <f>ROUND('DOE25'!F117+'DOE25'!F118,0)</f>
        <v>17915767</v>
      </c>
      <c r="D37" s="182">
        <f t="shared" si="1"/>
        <v>21.4</v>
      </c>
    </row>
    <row r="38" spans="1:4" x14ac:dyDescent="0.2">
      <c r="A38" s="183" t="s">
        <v>734</v>
      </c>
      <c r="B38" s="185" t="s">
        <v>729</v>
      </c>
      <c r="C38" s="179">
        <f>ROUND(SUM('DOE25'!F140:J140)-SUM('DOE25'!F117:F119),0)</f>
        <v>842202</v>
      </c>
      <c r="D38" s="182">
        <f t="shared" si="1"/>
        <v>1</v>
      </c>
    </row>
    <row r="39" spans="1:4" x14ac:dyDescent="0.2">
      <c r="A39">
        <v>4000</v>
      </c>
      <c r="B39" s="185" t="s">
        <v>730</v>
      </c>
      <c r="C39" s="179">
        <f>ROUND('DOE25'!F170+'DOE25'!G170+'DOE25'!H170+'DOE25'!I170,0)</f>
        <v>4246903</v>
      </c>
      <c r="D39" s="182">
        <f t="shared" si="1"/>
        <v>5.0999999999999996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83561668.729999989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4" sqref="C24:M24"/>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LONDONDERRY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5</v>
      </c>
      <c r="B4" s="219" t="s">
        <v>1684</v>
      </c>
      <c r="C4" s="375" t="s">
        <v>1672</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v>5</v>
      </c>
      <c r="B5" s="219" t="s">
        <v>1685</v>
      </c>
      <c r="C5" s="375" t="s">
        <v>1673</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t="s">
        <v>1686</v>
      </c>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v>14</v>
      </c>
      <c r="B8" s="219" t="s">
        <v>1687</v>
      </c>
      <c r="C8" s="375" t="s">
        <v>1688</v>
      </c>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v>24</v>
      </c>
      <c r="B10" s="219"/>
      <c r="C10" s="375" t="s">
        <v>1689</v>
      </c>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2021-09-01T16:47:02Z</cp:lastPrinted>
  <dcterms:created xsi:type="dcterms:W3CDTF">1997-12-04T19:04:30Z</dcterms:created>
  <dcterms:modified xsi:type="dcterms:W3CDTF">2021-12-14T18:30:16Z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