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19200" windowHeight="1146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4" i="17" l="1"/>
  <c r="E22" i="17"/>
  <c r="E26" i="17" l="1"/>
  <c r="H466" i="1" l="1"/>
  <c r="H522" i="1"/>
  <c r="H527" i="1"/>
  <c r="H524" i="1"/>
  <c r="H529" i="1"/>
  <c r="D37" i="14" l="1"/>
  <c r="D7" i="14"/>
  <c r="D6" i="14"/>
  <c r="D5" i="14"/>
  <c r="H98" i="1"/>
  <c r="H473" i="1"/>
  <c r="H469" i="1"/>
  <c r="H321" i="1"/>
  <c r="H282" i="1"/>
  <c r="F49" i="1"/>
  <c r="H48" i="1" l="1"/>
  <c r="H9" i="1"/>
  <c r="E37" i="14" l="1"/>
  <c r="E7" i="14"/>
  <c r="E6" i="14"/>
  <c r="E5" i="14"/>
  <c r="E28" i="17" l="1"/>
  <c r="E30" i="17"/>
  <c r="I244" i="1" l="1"/>
  <c r="I208" i="1"/>
  <c r="G522" i="1"/>
  <c r="F522" i="1"/>
  <c r="F524" i="1"/>
  <c r="I524" i="1"/>
  <c r="I522" i="1"/>
  <c r="J524" i="1"/>
  <c r="J522" i="1"/>
  <c r="J527" i="1"/>
  <c r="J529" i="1"/>
  <c r="I529" i="1"/>
  <c r="I527" i="1"/>
  <c r="G529" i="1"/>
  <c r="G527" i="1"/>
  <c r="F527" i="1"/>
  <c r="H544" i="1"/>
  <c r="H542" i="1"/>
  <c r="I534" i="1"/>
  <c r="I532" i="1"/>
  <c r="H534" i="1"/>
  <c r="H532" i="1"/>
  <c r="G524" i="1" l="1"/>
  <c r="B12" i="12" l="1"/>
  <c r="C20" i="12"/>
  <c r="C39" i="12"/>
  <c r="B39" i="12"/>
  <c r="C21" i="12" l="1"/>
  <c r="C19" i="12"/>
  <c r="B20" i="12"/>
  <c r="B19" i="12"/>
  <c r="B21" i="12"/>
  <c r="C12" i="12"/>
  <c r="C10" i="12"/>
  <c r="C11" i="12"/>
  <c r="B10" i="12"/>
  <c r="B11" i="12"/>
  <c r="I493" i="1"/>
  <c r="H493" i="1"/>
  <c r="I492" i="1"/>
  <c r="H492" i="1"/>
  <c r="H612" i="1"/>
  <c r="G612" i="1"/>
  <c r="F612" i="1"/>
  <c r="J244" i="1"/>
  <c r="J208" i="1"/>
  <c r="J315" i="1"/>
  <c r="I315" i="1"/>
  <c r="H605" i="1"/>
  <c r="J605" i="1"/>
  <c r="K262" i="1"/>
  <c r="K261" i="1"/>
  <c r="J256" i="1"/>
  <c r="I287" i="1"/>
  <c r="H326" i="1"/>
  <c r="H288" i="1"/>
  <c r="H287" i="1"/>
  <c r="F473" i="1"/>
  <c r="H65" i="1"/>
  <c r="F584" i="1" l="1"/>
  <c r="H583" i="1"/>
  <c r="F583" i="1"/>
  <c r="H576" i="1" l="1"/>
  <c r="H577" i="1"/>
  <c r="H586" i="1"/>
  <c r="J596" i="1"/>
  <c r="H596" i="1"/>
  <c r="J595" i="1"/>
  <c r="H595" i="1"/>
  <c r="J594" i="1"/>
  <c r="J593" i="1"/>
  <c r="H593" i="1"/>
  <c r="J592" i="1"/>
  <c r="H592" i="1"/>
  <c r="F466" i="1"/>
  <c r="H361" i="1"/>
  <c r="H359" i="1"/>
  <c r="H325" i="1"/>
  <c r="J325" i="1"/>
  <c r="I325" i="1"/>
  <c r="I322" i="1"/>
  <c r="H322" i="1"/>
  <c r="I321" i="1"/>
  <c r="G321" i="1"/>
  <c r="F321" i="1"/>
  <c r="F320" i="1"/>
  <c r="G320" i="1"/>
  <c r="H320" i="1"/>
  <c r="I320" i="1"/>
  <c r="J320" i="1"/>
  <c r="H316" i="1"/>
  <c r="I316" i="1"/>
  <c r="J316" i="1"/>
  <c r="H315" i="1"/>
  <c r="G278" i="1"/>
  <c r="J287" i="1"/>
  <c r="I284" i="1"/>
  <c r="H284" i="1"/>
  <c r="H283" i="1"/>
  <c r="G283" i="1"/>
  <c r="F283" i="1"/>
  <c r="I283" i="1"/>
  <c r="G282" i="1"/>
  <c r="F282" i="1"/>
  <c r="I282" i="1"/>
  <c r="K282" i="1"/>
  <c r="J282" i="1"/>
  <c r="I278" i="1"/>
  <c r="H278" i="1"/>
  <c r="J278" i="1"/>
  <c r="F278" i="1"/>
  <c r="J277" i="1"/>
  <c r="I277" i="1"/>
  <c r="H277" i="1"/>
  <c r="F277" i="1"/>
  <c r="H244" i="1" l="1"/>
  <c r="G240" i="1"/>
  <c r="J246" i="1"/>
  <c r="H246" i="1"/>
  <c r="H245" i="1"/>
  <c r="G244" i="1"/>
  <c r="F244" i="1"/>
  <c r="K241" i="1"/>
  <c r="J241" i="1"/>
  <c r="I241" i="1"/>
  <c r="H241" i="1"/>
  <c r="G241" i="1"/>
  <c r="F241" i="1"/>
  <c r="I240" i="1"/>
  <c r="H240" i="1"/>
  <c r="F240" i="1"/>
  <c r="H239" i="1"/>
  <c r="K239" i="1"/>
  <c r="F235" i="1"/>
  <c r="J235" i="1"/>
  <c r="I235" i="1"/>
  <c r="H235" i="1"/>
  <c r="G235" i="1"/>
  <c r="G234" i="1"/>
  <c r="F234" i="1"/>
  <c r="J234" i="1"/>
  <c r="I234" i="1"/>
  <c r="H234" i="1"/>
  <c r="H208" i="1"/>
  <c r="G204" i="1"/>
  <c r="J210" i="1"/>
  <c r="H210" i="1"/>
  <c r="H209" i="1"/>
  <c r="G208" i="1"/>
  <c r="F208" i="1"/>
  <c r="K205" i="1"/>
  <c r="J205" i="1"/>
  <c r="I205" i="1"/>
  <c r="H205" i="1"/>
  <c r="G205" i="1"/>
  <c r="F205" i="1"/>
  <c r="I204" i="1"/>
  <c r="H204" i="1"/>
  <c r="G203" i="1"/>
  <c r="K203" i="1"/>
  <c r="H203" i="1"/>
  <c r="F203" i="1"/>
  <c r="H199" i="1"/>
  <c r="G199" i="1"/>
  <c r="F199" i="1"/>
  <c r="J199" i="1"/>
  <c r="I199" i="1"/>
  <c r="G198" i="1"/>
  <c r="F198" i="1"/>
  <c r="J198" i="1"/>
  <c r="I198" i="1"/>
  <c r="H198" i="1"/>
  <c r="H162" i="1" l="1"/>
  <c r="I318" i="1" l="1"/>
  <c r="G315" i="1"/>
  <c r="F315" i="1"/>
  <c r="H22" i="1"/>
  <c r="I242" i="1" l="1"/>
  <c r="H242" i="1"/>
  <c r="G242" i="1"/>
  <c r="F242" i="1"/>
  <c r="J240" i="1"/>
  <c r="J239" i="1"/>
  <c r="G239" i="1"/>
  <c r="F239" i="1"/>
  <c r="I239" i="1"/>
  <c r="K237" i="1"/>
  <c r="J237" i="1"/>
  <c r="I237" i="1"/>
  <c r="H237" i="1"/>
  <c r="G237" i="1"/>
  <c r="F237" i="1"/>
  <c r="H236" i="1"/>
  <c r="K234" i="1"/>
  <c r="I206" i="1"/>
  <c r="K206" i="1"/>
  <c r="J206" i="1"/>
  <c r="H206" i="1"/>
  <c r="G206" i="1"/>
  <c r="F206" i="1"/>
  <c r="J204" i="1"/>
  <c r="F204" i="1"/>
  <c r="J203" i="1"/>
  <c r="I203" i="1"/>
  <c r="K201" i="1"/>
  <c r="J201" i="1"/>
  <c r="I201" i="1"/>
  <c r="H201" i="1"/>
  <c r="G201" i="1"/>
  <c r="F201" i="1"/>
  <c r="K198" i="1"/>
  <c r="G132" i="1" l="1"/>
  <c r="H63" i="1"/>
  <c r="H155" i="1"/>
  <c r="H154" i="1"/>
  <c r="H159" i="1"/>
  <c r="G158" i="1"/>
  <c r="G97" i="1"/>
  <c r="F128" i="1"/>
  <c r="F127" i="1"/>
  <c r="F126" i="1"/>
  <c r="F117" i="1"/>
  <c r="F96" i="1"/>
  <c r="F57" i="1"/>
  <c r="G48" i="1" l="1"/>
  <c r="F9" i="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C12" i="10" s="1"/>
  <c r="L237" i="1"/>
  <c r="G6" i="13"/>
  <c r="H6" i="13"/>
  <c r="L203" i="1"/>
  <c r="D6" i="13" s="1"/>
  <c r="C6" i="13" s="1"/>
  <c r="L221" i="1"/>
  <c r="L239" i="1"/>
  <c r="G7" i="13"/>
  <c r="H7" i="13"/>
  <c r="L204" i="1"/>
  <c r="L222" i="1"/>
  <c r="L240" i="1"/>
  <c r="C119" i="2" s="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G553" i="1" l="1"/>
  <c r="E13" i="13"/>
  <c r="C13" i="13" s="1"/>
  <c r="J652" i="1"/>
  <c r="H477" i="1"/>
  <c r="H625" i="1" s="1"/>
  <c r="J625" i="1" s="1"/>
  <c r="E123" i="2"/>
  <c r="E119" i="2"/>
  <c r="K339" i="1"/>
  <c r="K353" i="1" s="1"/>
  <c r="C125" i="2"/>
  <c r="H663" i="1"/>
  <c r="C120" i="2"/>
  <c r="E110" i="2"/>
  <c r="G339" i="1"/>
  <c r="G353" i="1" s="1"/>
  <c r="C13" i="10"/>
  <c r="C110" i="2"/>
  <c r="C121" i="2"/>
  <c r="C112" i="2"/>
  <c r="J258" i="1"/>
  <c r="J272" i="1" s="1"/>
  <c r="G409" i="1"/>
  <c r="H646" i="1" s="1"/>
  <c r="D50" i="2"/>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E128" i="2"/>
  <c r="E115" i="2"/>
  <c r="F661" i="1"/>
  <c r="F665" i="1" s="1"/>
  <c r="F668" i="1" s="1"/>
  <c r="H649" i="1"/>
  <c r="J649" i="1" s="1"/>
  <c r="H661" i="1"/>
  <c r="H665" i="1" s="1"/>
  <c r="H194" i="1"/>
  <c r="G630" i="1" s="1"/>
  <c r="J630" i="1" s="1"/>
  <c r="C81" i="2"/>
  <c r="F194" i="1"/>
  <c r="G628" i="1" s="1"/>
  <c r="J628" i="1" s="1"/>
  <c r="D5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68" i="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D28" i="10"/>
  <c r="D37" i="10"/>
  <c r="D36" i="10"/>
  <c r="D35" i="10"/>
  <c r="D40" i="10"/>
  <c r="D39" i="10"/>
  <c r="D41" i="10" l="1"/>
  <c r="F471" i="1"/>
  <c r="F477" i="1" s="1"/>
  <c r="H623" i="1" s="1"/>
  <c r="J623"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<sst xmlns="http://schemas.openxmlformats.org/spreadsheetml/2006/main" count="5585" uniqueCount="1682">
  <si>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</si>
  <si>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</si>
  <si>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</si>
  <si>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</si>
  <si>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</si>
  <si>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</si>
  <si>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</si>
  <si>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</si>
  <si>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</si>
  <si>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</si>
  <si>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</si>
  <si>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</si>
  <si>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</si>
  <si>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</si>
  <si>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</si>
  <si>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</si>
  <si>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</si>
  <si>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</si>
  <si>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</si>
  <si>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</si>
  <si>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</si>
  <si>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</si>
  <si>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</si>
  <si>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</si>
  <si>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</si>
  <si>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</si>
  <si>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</si>
  <si>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</si>
  <si>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</si>
  <si>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</si>
  <si>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</si>
  <si>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</si>
  <si>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</si>
  <si>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</si>
  <si>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</si>
  <si>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</si>
  <si>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</si>
  <si>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</si>
  <si>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</si>
  <si>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</si>
  <si>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</si>
  <si>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</si>
  <si>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</si>
  <si>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</si>
  <si>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</si>
  <si>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</si>
  <si>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</si>
  <si>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</si>
  <si>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</si>
  <si>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</si>
  <si>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</si>
  <si>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</si>
  <si>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</si>
  <si>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</si>
  <si>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</si>
  <si>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</si>
  <si>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</si>
  <si>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</si>
  <si>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</si>
  <si>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</si>
  <si>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</si>
  <si>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</si>
  <si>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</si>
  <si>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</si>
  <si>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</si>
  <si>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</si>
  <si>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</si>
  <si>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</si>
  <si>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</si>
  <si>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</si>
  <si>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</si>
  <si>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</si>
  <si>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</si>
  <si>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</si>
  <si>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</si>
  <si>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</si>
  <si>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</si>
  <si>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</si>
  <si>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</si>
  <si>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</si>
  <si>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</si>
  <si>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</si>
  <si>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</si>
  <si>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</si>
  <si>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</si>
  <si>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</si>
  <si>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</si>
  <si>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</si>
  <si>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</si>
  <si>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</si>
  <si>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</si>
  <si>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</si>
  <si>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</si>
  <si>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</si>
  <si>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</si>
  <si>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</si>
  <si>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</si>
  <si>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</si>
  <si>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</si>
  <si>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</si>
  <si>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</si>
  <si>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</si>
  <si>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</si>
  <si>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</si>
  <si>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</si>
  <si>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</si>
  <si>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</si>
  <si>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</si>
  <si>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</si>
  <si>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</si>
  <si>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</si>
  <si>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</si>
  <si>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</si>
  <si>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</si>
  <si>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</si>
  <si>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</si>
  <si>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</si>
  <si>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</si>
  <si>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</si>
  <si>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</si>
  <si>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</si>
  <si>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</si>
  <si>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</si>
  <si>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</si>
  <si>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</si>
  <si>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</si>
  <si>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</si>
  <si>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</si>
  <si>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</si>
  <si>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</si>
  <si>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</si>
  <si>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</si>
  <si>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</si>
  <si>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</si>
  <si>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</si>
  <si>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</si>
  <si>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</si>
  <si>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</si>
  <si>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</si>
  <si>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</si>
  <si>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</si>
  <si>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</si>
  <si>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</si>
  <si>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</si>
  <si>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</si>
  <si>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</si>
  <si>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</si>
  <si>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</si>
  <si>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</si>
  <si>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</si>
  <si>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</si>
  <si>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</si>
  <si>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</si>
  <si>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</si>
  <si>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</si>
  <si>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</si>
  <si>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</si>
  <si>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</si>
  <si>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</si>
  <si>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</si>
  <si>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</si>
  <si>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</si>
  <si>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</si>
  <si>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</si>
  <si>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</si>
  <si>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</si>
  <si>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</si>
  <si>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</si>
  <si>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</si>
  <si>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</si>
  <si>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</si>
  <si>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</si>
  <si>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</si>
  <si>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</si>
  <si>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</si>
  <si>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</si>
  <si>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</si>
  <si>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</si>
  <si>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</si>
  <si>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</si>
  <si>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</si>
  <si>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</si>
  <si>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</si>
  <si>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</si>
  <si>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</si>
  <si>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</si>
  <si>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</si>
  <si>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</si>
  <si>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</si>
  <si>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</si>
  <si>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</si>
  <si>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</si>
  <si>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</si>
  <si>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</si>
  <si>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</si>
  <si>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</si>
  <si>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</si>
  <si>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</si>
  <si>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</si>
  <si>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</si>
  <si>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</si>
  <si>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</si>
  <si>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</si>
  <si>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</si>
  <si>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</si>
  <si>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</si>
  <si>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</si>
  <si>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</si>
  <si>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</si>
  <si>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</si>
  <si>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</si>
  <si>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</si>
  <si>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</si>
  <si>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</si>
  <si>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</si>
  <si>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</si>
  <si>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</si>
  <si>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</si>
  <si>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</si>
  <si>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</si>
  <si>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</si>
  <si>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</si>
  <si>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</si>
  <si>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</si>
  <si>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</si>
  <si>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</si>
  <si>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</si>
  <si>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</si>
  <si>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</si>
  <si>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</si>
  <si>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</si>
  <si>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</si>
  <si>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</si>
  <si>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</si>
  <si>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</si>
  <si>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</si>
  <si>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</si>
  <si>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</si>
  <si>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</si>
  <si>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</si>
  <si>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</si>
  <si>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</si>
  <si>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</si>
  <si>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</si>
  <si>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</si>
  <si>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</si>
  <si>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</si>
  <si>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</si>
  <si>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</si>
  <si>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</si>
  <si>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</si>
  <si>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</si>
  <si>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</si>
  <si>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</si>
  <si>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</si>
  <si>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</si>
  <si>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</si>
  <si>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</si>
  <si>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</si>
  <si>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</si>
  <si>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</si>
  <si>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</si>
  <si>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</si>
  <si>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</si>
  <si>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</si>
  <si>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</si>
  <si>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</si>
  <si>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</si>
  <si>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</si>
  <si>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</si>
  <si>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</si>
  <si>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</si>
  <si>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</si>
  <si>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</si>
  <si>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</si>
  <si>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</si>
  <si>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</si>
  <si>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</si>
  <si>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</si>
  <si>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</si>
  <si>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</si>
  <si>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</si>
  <si>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</si>
  <si>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</si>
  <si>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</si>
  <si>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</si>
  <si>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</si>
  <si>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</si>
  <si>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</si>
  <si>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</si>
  <si>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</si>
  <si>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</si>
  <si>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</si>
  <si>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</si>
  <si>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</si>
  <si>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</si>
  <si>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</si>
  <si>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</si>
  <si>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</si>
  <si>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</si>
  <si>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</si>
  <si>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</si>
  <si>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</si>
  <si>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</si>
  <si>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</si>
  <si>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</si>
  <si>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</si>
  <si>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</si>
  <si>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</si>
  <si>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</si>
  <si>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</si>
  <si>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</si>
  <si>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</si>
  <si>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</si>
  <si>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</si>
  <si>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</si>
  <si>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</si>
  <si>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</si>
  <si>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</si>
  <si>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</si>
  <si>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</si>
  <si>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</si>
  <si>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</si>
  <si>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</si>
  <si>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</si>
  <si>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</si>
  <si>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</si>
  <si>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</si>
  <si>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</si>
  <si>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</si>
  <si>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</si>
  <si>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</si>
  <si>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</si>
  <si>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</si>
  <si>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</si>
  <si>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</si>
  <si>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</si>
  <si>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</si>
  <si>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</si>
  <si>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</si>
  <si>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</si>
  <si>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</si>
  <si>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</si>
  <si>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</si>
  <si>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</si>
  <si>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</si>
  <si>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</si>
  <si>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</si>
  <si>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</si>
  <si>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</si>
  <si>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</si>
  <si>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</si>
  <si>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</si>
  <si>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</si>
  <si>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</si>
  <si>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</si>
  <si>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</si>
  <si>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</si>
  <si>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</si>
  <si>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</si>
  <si>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</si>
  <si>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</si>
  <si>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</si>
  <si>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</si>
  <si>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</si>
  <si>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</si>
  <si>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</si>
  <si>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</si>
  <si>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</si>
  <si>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</si>
  <si>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</si>
  <si>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</si>
  <si>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</si>
  <si>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</si>
  <si>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</si>
  <si>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</si>
  <si>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</si>
  <si>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</si>
  <si>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</si>
  <si>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</si>
  <si>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</si>
  <si>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</si>
  <si>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</si>
  <si>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</si>
  <si>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</si>
  <si>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</si>
  <si>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</si>
  <si>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</si>
  <si>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</si>
  <si>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</si>
  <si>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</si>
  <si>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</si>
  <si>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</si>
  <si>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</si>
  <si>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</si>
  <si>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</si>
  <si>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</si>
  <si>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</si>
  <si>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</si>
  <si>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</si>
  <si>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</si>
  <si>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</si>
  <si>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</si>
  <si>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</si>
  <si>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</si>
  <si>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</si>
  <si>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</si>
  <si>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</si>
  <si>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</si>
  <si>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</si>
  <si>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</si>
  <si>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</si>
  <si>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</si>
  <si>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</si>
  <si>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</si>
  <si>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</si>
  <si>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</si>
  <si>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</si>
  <si>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</si>
  <si>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</si>
  <si>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</si>
  <si>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</si>
  <si>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</si>
  <si>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</si>
  <si>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</si>
  <si>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</si>
  <si>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</si>
  <si>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</si>
  <si>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</si>
  <si>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</si>
  <si>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</si>
  <si>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</si>
  <si>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</si>
  <si>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</si>
  <si>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</si>
  <si>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</si>
  <si>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</si>
  <si>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</si>
  <si>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</si>
  <si>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</si>
  <si>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</si>
  <si>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</si>
  <si>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</si>
  <si>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</si>
  <si>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</si>
  <si>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</si>
  <si>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</si>
  <si>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</si>
  <si>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</si>
  <si>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</si>
  <si>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</si>
  <si>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</si>
  <si>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</si>
  <si>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</si>
  <si>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</si>
  <si>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</si>
  <si>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</si>
  <si>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</si>
  <si>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</si>
  <si>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</si>
  <si>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</si>
  <si>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</si>
  <si>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</si>
  <si>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</si>
  <si>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</si>
  <si>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</si>
  <si>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</si>
  <si>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</si>
  <si>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</si>
  <si>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</si>
  <si>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</si>
  <si>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</si>
  <si>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</si>
  <si>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</si>
  <si>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</si>
  <si>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</si>
  <si>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</si>
  <si>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</si>
  <si>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</si>
  <si>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</si>
  <si>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</si>
  <si>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</si>
  <si>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</si>
  <si>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</si>
  <si>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</si>
  <si>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</si>
  <si>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</si>
  <si>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</si>
  <si>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</si>
  <si>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</si>
  <si>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</si>
  <si>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</si>
  <si>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</si>
  <si>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</si>
  <si>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</si>
  <si>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</si>
  <si>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</si>
  <si>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</si>
  <si>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</si>
  <si>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</si>
  <si>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</si>
  <si>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</si>
  <si>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</si>
  <si>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</si>
  <si>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</si>
  <si>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</si>
  <si>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</si>
  <si>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</si>
  <si>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</si>
  <si>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</si>
  <si>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</si>
  <si>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</si>
  <si>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</si>
  <si>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</si>
  <si>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</si>
  <si>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</si>
  <si>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</si>
  <si>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</si>
  <si>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</si>
  <si>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</si>
  <si>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</si>
  <si>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</si>
  <si>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</si>
  <si>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</si>
  <si>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</si>
  <si>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</si>
  <si>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</si>
  <si>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</si>
  <si>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</si>
  <si>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</si>
  <si>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</si>
  <si>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</si>
  <si>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</si>
  <si>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</si>
  <si>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</si>
  <si>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</si>
  <si>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</si>
  <si>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</si>
  <si>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</si>
  <si>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</si>
  <si>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</si>
  <si>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</si>
  <si>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</si>
  <si>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</si>
  <si>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</si>
  <si>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</si>
  <si>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</si>
  <si>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</si>
  <si>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</si>
  <si>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</si>
  <si>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</si>
  <si>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</si>
  <si>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</si>
  <si>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</si>
  <si>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</si>
  <si>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</si>
  <si>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</si>
  <si>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</si>
  <si>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</si>
  <si>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</si>
  <si>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</si>
  <si>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</si>
  <si>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</si>
  <si>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</si>
  <si>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</si>
  <si>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</si>
  <si>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</si>
  <si>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</si>
  <si>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</si>
  <si>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</si>
  <si>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</si>
  <si>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</si>
  <si>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</si>
  <si>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</si>
  <si>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</si>
  <si>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</si>
  <si>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</si>
  <si>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</si>
  <si>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</si>
  <si>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</si>
  <si>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</si>
  <si>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</si>
  <si>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</si>
  <si>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</si>
  <si>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</si>
  <si>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</si>
  <si>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</si>
  <si>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</si>
  <si>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</si>
  <si>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</si>
  <si>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</si>
  <si>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</si>
  <si>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</si>
  <si>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</si>
  <si>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</si>
  <si>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</si>
  <si>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</si>
  <si>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</si>
  <si>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</si>
  <si>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</si>
  <si>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</si>
  <si>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</si>
  <si>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</si>
  <si>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</si>
  <si>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</si>
  <si>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</si>
  <si>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</si>
  <si>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</si>
  <si>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</si>
  <si>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</si>
  <si>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</si>
  <si>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</si>
  <si>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</si>
  <si>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</si>
  <si>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</si>
  <si>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</si>
  <si>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</si>
  <si>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</si>
  <si>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</si>
  <si>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</si>
  <si>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</si>
  <si>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</si>
  <si>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</si>
  <si>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</si>
  <si>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</si>
  <si>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</si>
  <si>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</si>
  <si>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</si>
  <si>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</si>
  <si>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</si>
  <si>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</si>
  <si>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</si>
  <si>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</si>
  <si>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</si>
  <si>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</si>
  <si>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</si>
  <si>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</si>
  <si>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</si>
  <si>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</si>
  <si>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</si>
  <si>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</si>
  <si>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</si>
  <si>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</si>
  <si>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</si>
  <si>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</si>
  <si>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</si>
  <si>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</si>
  <si>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</si>
  <si>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</si>
  <si>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</si>
  <si>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</si>
  <si>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</si>
  <si>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</si>
  <si>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</si>
  <si>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</si>
  <si>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</si>
  <si>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</si>
  <si>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</si>
  <si>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</si>
  <si>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</si>
  <si>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</si>
  <si>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</si>
  <si>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</si>
  <si>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</si>
  <si>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</si>
  <si>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</si>
  <si>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</si>
  <si>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</si>
  <si>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</si>
  <si>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</si>
  <si>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</si>
  <si>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</si>
  <si>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</si>
  <si>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</si>
  <si>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</si>
  <si>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</si>
  <si>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</si>
  <si>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</si>
  <si>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</si>
  <si>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</si>
  <si>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</si>
  <si>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</si>
  <si>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</si>
  <si>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</si>
  <si>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</si>
  <si>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</si>
  <si>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</si>
  <si>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</si>
  <si>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</si>
  <si>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</si>
  <si>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</si>
  <si>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</si>
  <si>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</si>
  <si>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</si>
  <si>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</si>
  <si>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</si>
  <si>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</si>
  <si>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</si>
  <si>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</si>
  <si>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</si>
  <si>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</si>
  <si>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</si>
  <si>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</si>
  <si>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</si>
  <si>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</si>
  <si>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</si>
  <si>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</si>
  <si>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</si>
  <si>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</si>
  <si>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</si>
  <si>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</si>
  <si>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</si>
  <si>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</si>
  <si>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</si>
  <si>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</si>
  <si>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</si>
  <si>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</si>
  <si>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</si>
  <si>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</si>
  <si>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</si>
  <si>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</si>
  <si>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</si>
  <si>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</si>
  <si>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</si>
  <si>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</si>
  <si>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</si>
  <si>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</si>
  <si>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</si>
  <si>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</si>
  <si>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</si>
  <si>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</si>
  <si>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</si>
  <si>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</si>
  <si>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</si>
  <si>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</si>
  <si>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</si>
  <si>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</si>
  <si>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</si>
  <si>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</si>
  <si>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</si>
  <si>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</si>
  <si>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</si>
  <si>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</si>
  <si>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</si>
  <si>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</si>
  <si>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</si>
  <si>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</si>
  <si>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</si>
  <si>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</si>
  <si>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</si>
  <si>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</si>
  <si>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</si>
  <si>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</si>
  <si>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</si>
  <si>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</si>
  <si>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</si>
  <si>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</si>
  <si>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</si>
  <si>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</si>
  <si>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</si>
  <si>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</si>
  <si>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</si>
  <si>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</si>
  <si>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</si>
  <si>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</si>
  <si>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</si>
  <si>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</si>
  <si>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</si>
  <si>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</si>
  <si>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</si>
  <si>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</si>
  <si>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</si>
  <si>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</si>
  <si>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</si>
  <si>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</si>
  <si>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</si>
  <si>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</si>
  <si>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</si>
  <si>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</si>
  <si>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</si>
  <si>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</si>
  <si>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</si>
  <si>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</si>
  <si>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</si>
  <si>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</si>
  <si>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</si>
  <si>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</si>
  <si>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</si>
  <si>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</si>
  <si>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</si>
  <si>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</si>
  <si>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</si>
  <si>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</si>
  <si>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</si>
  <si>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</si>
  <si>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</si>
  <si>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</si>
  <si>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</si>
  <si>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</si>
  <si>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</si>
  <si>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</si>
  <si>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</si>
  <si>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</si>
  <si>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</si>
  <si>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</si>
  <si>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</si>
  <si>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</si>
  <si>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</si>
  <si>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</si>
  <si>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</si>
  <si>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</si>
  <si>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</si>
  <si>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</si>
  <si>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</si>
  <si>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</si>
  <si>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</si>
  <si>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</si>
  <si>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</si>
  <si>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</si>
  <si>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</si>
  <si>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</si>
  <si>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</si>
  <si>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</si>
  <si>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</si>
  <si>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</si>
  <si>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</si>
  <si>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</si>
  <si>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</si>
  <si>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</si>
  <si>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</si>
  <si>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</si>
  <si>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</si>
  <si>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</si>
  <si>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</si>
  <si>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</si>
  <si>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</si>
  <si>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</si>
  <si>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</si>
  <si>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</si>
  <si>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</si>
  <si>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</si>
  <si>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</si>
  <si>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</si>
  <si>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</si>
  <si>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</si>
  <si>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</si>
  <si>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</si>
  <si>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</si>
  <si>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</si>
  <si>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</si>
  <si>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</si>
  <si>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</si>
  <si>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</si>
  <si>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</si>
  <si>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</si>
  <si>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</si>
  <si>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</si>
  <si>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</si>
  <si>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</si>
  <si>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</si>
  <si>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</si>
  <si>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</si>
  <si>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</si>
  <si>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</si>
  <si>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</si>
  <si>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</si>
  <si>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</si>
  <si>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</si>
  <si>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</si>
  <si>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</si>
  <si>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</si>
  <si>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</si>
  <si>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</si>
  <si>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</si>
  <si>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</si>
  <si>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</si>
  <si>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</si>
  <si>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</si>
  <si>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</si>
  <si>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</si>
  <si>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</si>
  <si>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</si>
  <si>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</si>
  <si>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</si>
  <si>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</si>
  <si>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</si>
  <si>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</si>
  <si>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</si>
  <si>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</si>
  <si>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</si>
  <si>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</si>
  <si>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</si>
  <si>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</si>
  <si>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</si>
  <si>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</si>
  <si>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</si>
  <si>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</si>
  <si>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</si>
  <si>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</si>
  <si>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</si>
  <si>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</si>
  <si>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</si>
  <si>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</si>
  <si>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</si>
  <si>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</si>
  <si>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</si>
  <si>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</si>
  <si>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</si>
  <si>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</si>
  <si>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</si>
  <si>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</si>
  <si>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</si>
  <si>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</si>
  <si>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</si>
  <si>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</si>
  <si>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</si>
  <si>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</si>
  <si>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</si>
  <si>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</si>
  <si>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</si>
  <si>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</si>
  <si>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</si>
  <si>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</si>
  <si>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</si>
  <si>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</si>
  <si>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</si>
  <si>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</si>
  <si>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</si>
  <si>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</si>
  <si>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</si>
  <si>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</si>
  <si>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</si>
  <si>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</si>
  <si>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</si>
  <si>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</si>
  <si>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</si>
  <si>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</si>
  <si>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</si>
  <si>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</si>
  <si>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</si>
  <si>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</si>
  <si>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</si>
  <si>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</si>
  <si>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</si>
  <si>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</si>
  <si>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</si>
  <si>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</si>
  <si>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</si>
  <si>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</si>
  <si>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</si>
  <si>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</si>
  <si>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</si>
  <si>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</si>
  <si>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</si>
  <si>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</si>
  <si>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</si>
  <si>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</si>
  <si>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</si>
  <si>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</si>
  <si>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</si>
  <si>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</si>
  <si>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</si>
  <si>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</si>
  <si>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</si>
  <si>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</si>
  <si>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</si>
  <si>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</si>
  <si>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</si>
  <si>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</si>
  <si>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</si>
  <si>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</si>
  <si>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</si>
  <si>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</si>
  <si>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</si>
  <si>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</si>
  <si>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</si>
  <si>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</si>
  <si>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</si>
  <si>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</si>
  <si>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</si>
  <si>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</si>
  <si>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</si>
  <si>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</si>
  <si>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</si>
  <si>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</si>
  <si>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</si>
  <si>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</si>
  <si>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</si>
  <si>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</si>
  <si>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</si>
  <si>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</si>
  <si>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</si>
  <si>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</si>
  <si>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</si>
  <si>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</si>
  <si>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</si>
  <si>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</si>
  <si>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</si>
  <si>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</si>
  <si>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</si>
  <si>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</si>
  <si>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</si>
  <si>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</si>
  <si>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</si>
  <si>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</si>
  <si>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</si>
  <si>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</si>
  <si>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</si>
  <si>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</si>
  <si>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</si>
  <si>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</si>
  <si>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</si>
  <si>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</si>
  <si>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</si>
  <si>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</si>
  <si>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</si>
  <si>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</si>
  <si>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</si>
  <si>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</si>
  <si>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</si>
  <si>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</si>
  <si>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</si>
  <si>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</si>
  <si>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</si>
  <si>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</si>
  <si>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</si>
  <si>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</si>
  <si>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</si>
  <si>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</si>
  <si>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</si>
  <si>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</si>
  <si>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</si>
  <si>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</si>
  <si>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</si>
  <si>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</si>
  <si>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</si>
  <si>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</si>
  <si>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</si>
  <si>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</si>
  <si>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</si>
  <si>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</si>
  <si>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</si>
  <si>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</si>
  <si>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</si>
  <si>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</si>
  <si>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</si>
  <si>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</si>
  <si>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</si>
  <si>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</si>
  <si>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</si>
  <si>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</si>
  <si>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</si>
  <si>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</si>
  <si>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</si>
  <si>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</si>
  <si>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</si>
  <si>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</si>
  <si>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</si>
  <si>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</si>
  <si>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</si>
  <si>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</si>
  <si>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</si>
  <si>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</si>
  <si>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</si>
  <si>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</si>
  <si>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</si>
  <si>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</si>
  <si>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</si>
  <si>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</si>
  <si>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</si>
  <si>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</si>
  <si>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</si>
  <si>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</si>
  <si>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</si>
  <si>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</si>
  <si>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</si>
  <si>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</si>
  <si>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</si>
  <si>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</si>
  <si>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</si>
  <si>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</si>
  <si>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</si>
  <si>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</si>
  <si>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</si>
  <si>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</si>
  <si>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</si>
  <si>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</si>
  <si>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</si>
  <si>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</si>
  <si>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</si>
  <si>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</si>
  <si>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</si>
  <si>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</si>
  <si>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</si>
  <si>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</si>
  <si>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</si>
  <si>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</si>
  <si>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</si>
  <si>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</si>
  <si>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</si>
  <si>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</si>
  <si>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</si>
  <si>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</si>
  <si>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</si>
  <si>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</si>
  <si>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</si>
  <si>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</si>
  <si>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</si>
  <si>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</si>
  <si>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</si>
  <si>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</si>
  <si>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</si>
  <si>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</si>
  <si>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</si>
  <si>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</si>
  <si>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</si>
  <si>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</si>
  <si>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</si>
  <si>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</si>
  <si>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</si>
  <si>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</si>
  <si>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</si>
  <si>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</si>
  <si>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</si>
  <si>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</si>
  <si>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</si>
  <si>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</si>
  <si>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</si>
  <si>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</si>
  <si>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</si>
  <si>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</si>
  <si>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</si>
  <si>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</si>
  <si>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</si>
  <si>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</si>
  <si>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</si>
  <si>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</si>
  <si>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</si>
  <si>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</si>
  <si>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</si>
  <si>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</si>
  <si>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</si>
  <si>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</si>
  <si>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</si>
  <si>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</si>
  <si>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</si>
  <si>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</si>
  <si>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</si>
  <si>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</si>
  <si>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</si>
  <si>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</si>
  <si>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</si>
  <si>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</si>
  <si>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</si>
  <si>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</si>
  <si>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</si>
  <si>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</si>
  <si>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</si>
  <si>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</si>
  <si>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</si>
  <si>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</si>
  <si>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</si>
  <si>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</si>
  <si>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</si>
  <si>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</si>
  <si>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</si>
  <si>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</si>
  <si>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</si>
  <si>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</si>
  <si>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</si>
  <si>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</si>
  <si>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</si>
  <si>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</si>
  <si>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</si>
  <si>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</si>
  <si>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</si>
  <si>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</si>
  <si>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</si>
  <si>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</si>
  <si>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</si>
  <si>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</si>
  <si>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</si>
  <si>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</si>
  <si>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</si>
  <si>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</si>
  <si>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</si>
  <si>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</si>
  <si>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</si>
  <si>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</si>
  <si>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</si>
  <si>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</si>
  <si>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</si>
  <si>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</si>
  <si>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</si>
  <si>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</si>
  <si>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</si>
  <si>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</si>
  <si>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</si>
  <si>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</si>
  <si>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</si>
  <si>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</si>
  <si>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</si>
  <si>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</si>
  <si>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</si>
  <si>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</si>
  <si>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</si>
  <si>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</si>
  <si>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</si>
  <si>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</si>
  <si>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</si>
  <si>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</si>
  <si>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</si>
  <si>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</si>
  <si>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</si>
  <si>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</si>
  <si>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</si>
  <si>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</si>
  <si>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</si>
  <si>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</si>
  <si>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</si>
  <si>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</si>
  <si>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</si>
  <si>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</si>
  <si>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</si>
  <si>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</si>
  <si>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</si>
  <si>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</si>
  <si>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</si>
  <si>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</si>
  <si>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</si>
  <si>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</si>
  <si>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</si>
  <si>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</si>
  <si>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</si>
  <si>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</si>
  <si>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</si>
  <si>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</si>
  <si>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</si>
  <si>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</si>
  <si>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</si>
  <si>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</si>
  <si>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</si>
  <si>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</si>
  <si>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</si>
  <si>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</si>
  <si>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</si>
  <si>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</si>
  <si>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</si>
  <si>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</si>
  <si>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</si>
  <si>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</si>
  <si>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</si>
  <si>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</si>
  <si>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</si>
  <si>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</si>
  <si>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</si>
  <si>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</si>
  <si>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</si>
  <si>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</si>
  <si>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</si>
  <si>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</si>
  <si>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</si>
  <si>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</si>
  <si>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</si>
  <si>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</si>
  <si>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</si>
  <si>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</si>
  <si>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</si>
  <si>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</si>
  <si>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</si>
  <si>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</si>
  <si>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</si>
  <si>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</si>
  <si>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</si>
  <si>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</si>
  <si>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</si>
  <si>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</si>
  <si>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</si>
  <si>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</si>
  <si>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</si>
  <si>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</si>
  <si>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</si>
  <si>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</si>
  <si>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</si>
  <si>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</si>
  <si>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</si>
  <si>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</si>
  <si>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</si>
  <si>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</si>
  <si>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</si>
  <si>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</si>
  <si>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</si>
  <si>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</si>
  <si>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</si>
  <si>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</si>
  <si>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</si>
  <si>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</si>
  <si>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</si>
  <si>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</si>
  <si>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</si>
  <si>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</si>
  <si>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</si>
  <si>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</si>
  <si>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</si>
  <si>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</si>
  <si>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</si>
  <si>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</si>
  <si>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</si>
  <si>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</si>
  <si>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</si>
  <si>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</si>
  <si>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</si>
  <si>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</si>
  <si>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</si>
  <si>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</si>
  <si>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</si>
  <si>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</si>
  <si>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</si>
  <si>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</si>
  <si>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</si>
  <si>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</si>
  <si>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</si>
  <si>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</si>
  <si>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</si>
  <si>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</si>
  <si>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</si>
  <si>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</si>
  <si>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</si>
  <si>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</si>
  <si>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</si>
  <si>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</si>
  <si>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</si>
  <si>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</si>
  <si>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</si>
  <si>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</si>
  <si>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</si>
  <si>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</si>
  <si>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</si>
  <si>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</si>
  <si>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</si>
  <si>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</si>
  <si>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</si>
  <si>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</si>
  <si>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</si>
  <si>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</si>
  <si>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</si>
  <si>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</si>
  <si>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</si>
  <si>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</si>
  <si>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</si>
  <si>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</si>
  <si>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</si>
  <si>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</si>
  <si>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</si>
  <si>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</si>
  <si>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</si>
  <si>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</si>
  <si>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</si>
  <si>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</si>
  <si>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</si>
  <si>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</si>
  <si>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</si>
  <si>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</si>
  <si>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</si>
  <si>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</si>
  <si>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</si>
  <si>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</si>
  <si>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</si>
  <si>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</si>
  <si>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</si>
  <si>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</si>
  <si>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</si>
  <si>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</si>
  <si>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</si>
  <si>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</si>
  <si>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</si>
  <si>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</si>
  <si>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</si>
  <si>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</si>
  <si>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</si>
  <si>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</si>
  <si>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</si>
  <si>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</si>
  <si>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</si>
  <si>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</si>
  <si>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</si>
  <si>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</si>
  <si>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</si>
  <si>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</si>
  <si>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</si>
  <si>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</si>
  <si>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</si>
  <si>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</si>
  <si>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</si>
  <si>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</si>
  <si>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</si>
  <si>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</si>
  <si>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</si>
  <si>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</si>
  <si>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</si>
  <si>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</si>
  <si>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</si>
  <si>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</si>
  <si>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</si>
  <si>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</si>
  <si>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</si>
  <si>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</si>
  <si>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</si>
  <si>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</si>
  <si>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</si>
  <si>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</si>
  <si>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</si>
  <si>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</si>
  <si>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</si>
  <si>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</si>
  <si>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</si>
  <si>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</si>
  <si>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</si>
  <si>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</si>
  <si>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</si>
  <si>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</si>
  <si>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</si>
  <si>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</si>
  <si>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</si>
  <si>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</si>
  <si>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</si>
  <si>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</si>
  <si>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</si>
  <si>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</si>
  <si>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</si>
  <si>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</si>
  <si>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</si>
  <si>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</si>
  <si>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</si>
  <si>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</si>
  <si>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</si>
  <si>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</si>
  <si>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</si>
  <si>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</si>
  <si>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</si>
  <si>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</si>
  <si>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</si>
  <si>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</si>
  <si>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</si>
  <si>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</si>
  <si>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</si>
  <si>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</si>
  <si>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</si>
  <si>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</si>
  <si>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</si>
  <si>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</si>
  <si>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</si>
  <si>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</si>
  <si>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</si>
  <si>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</si>
  <si>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</si>
  <si>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</si>
  <si>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</si>
  <si>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</si>
  <si>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</si>
  <si>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</si>
  <si>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</si>
  <si>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</si>
  <si>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</si>
  <si>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</si>
  <si>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</si>
  <si>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</si>
  <si>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</si>
  <si>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</si>
  <si>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</si>
  <si>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</si>
  <si>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</si>
  <si>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</si>
  <si>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</si>
  <si>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</si>
  <si>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</si>
  <si>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</si>
  <si>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</si>
  <si>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</si>
  <si>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</si>
  <si>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</si>
  <si>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</si>
  <si>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</si>
  <si>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</si>
  <si>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</si>
  <si>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</si>
  <si>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</si>
  <si>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</si>
  <si>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</si>
  <si>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</si>
  <si>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</si>
  <si>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</si>
  <si>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</si>
  <si>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</si>
  <si>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</si>
  <si>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</si>
  <si>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</si>
  <si>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</si>
  <si>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</si>
  <si>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</si>
  <si>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</si>
  <si>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</si>
  <si>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</si>
  <si>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</si>
  <si>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</si>
  <si>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</si>
  <si>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</si>
  <si>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</si>
  <si>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</si>
  <si>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</si>
  <si>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</si>
  <si>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</si>
  <si>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</si>
  <si>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</si>
  <si>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</si>
  <si>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</si>
  <si>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</si>
  <si>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</si>
  <si>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</si>
  <si>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</si>
  <si>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</si>
  <si>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</si>
  <si>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</si>
  <si>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</si>
  <si>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</si>
  <si>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</si>
  <si>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</si>
  <si>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</si>
  <si>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</si>
  <si>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</si>
  <si>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</si>
  <si>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</si>
  <si>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</si>
  <si>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</si>
  <si>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</si>
  <si>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</si>
  <si>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</si>
  <si>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</si>
  <si>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</si>
  <si>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</si>
  <si>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</si>
  <si>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</si>
  <si>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</si>
  <si>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</si>
  <si>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</si>
  <si>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</si>
  <si>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</si>
  <si>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</si>
  <si>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</si>
  <si>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</si>
  <si>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</si>
  <si>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</si>
  <si>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</si>
  <si>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</si>
  <si>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</si>
  <si>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</si>
  <si>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</si>
  <si>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</si>
  <si>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</si>
  <si>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</si>
  <si>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</si>
  <si>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</si>
  <si>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</si>
  <si>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</si>
  <si>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</si>
  <si>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</si>
  <si>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</si>
  <si>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</si>
  <si>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</si>
  <si>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</si>
  <si>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</si>
  <si>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</si>
  <si>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</si>
  <si>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</si>
  <si>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</si>
  <si>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</si>
  <si>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</si>
  <si>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</si>
  <si>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</si>
  <si>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</si>
  <si>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</si>
  <si>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</si>
  <si>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</si>
  <si>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</si>
  <si>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</si>
  <si>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</si>
  <si>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</si>
  <si>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</si>
  <si>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</si>
  <si>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</si>
  <si>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</si>
  <si>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</si>
  <si>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</si>
  <si>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</si>
  <si>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</si>
  <si>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</si>
  <si>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</si>
  <si>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</si>
  <si>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</si>
  <si>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</si>
  <si>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</si>
  <si>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</si>
  <si>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</si>
  <si>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</si>
  <si>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</si>
  <si>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</si>
  <si>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</si>
  <si>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</si>
  <si>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</si>
  <si>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</si>
  <si>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</si>
  <si>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</si>
  <si>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</si>
  <si>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</si>
  <si>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</si>
  <si>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</si>
  <si>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</si>
  <si>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</si>
  <si>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</si>
  <si>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</si>
  <si>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</si>
  <si>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</si>
  <si>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</si>
  <si>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</si>
  <si>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</si>
  <si>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</si>
  <si>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</si>
  <si>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</si>
  <si>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</si>
  <si>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</si>
  <si>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</si>
  <si>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</si>
  <si>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</si>
  <si>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</si>
  <si>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</si>
  <si>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</si>
  <si>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</si>
  <si>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</si>
  <si>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</si>
  <si>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</si>
  <si>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</si>
  <si>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</si>
  <si>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</si>
  <si>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</si>
  <si>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</si>
  <si>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</si>
  <si>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</si>
  <si>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</si>
  <si>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</si>
  <si>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</si>
  <si>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</si>
  <si>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</si>
  <si>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</si>
  <si>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</si>
  <si>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</si>
  <si>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</si>
  <si>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</si>
  <si>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</si>
  <si>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</si>
  <si>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</si>
  <si>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</si>
  <si>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</si>
  <si>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</si>
  <si>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</si>
  <si>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</si>
  <si>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</si>
  <si>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</si>
  <si>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</si>
  <si>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</si>
  <si>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</si>
  <si>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</si>
  <si>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</si>
  <si>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Mascoma Valley Regional School District</t>
  </si>
  <si>
    <t>Adjust deferred revenue &amp; receivable to actual</t>
  </si>
  <si>
    <t>Closed Long Range Planning Capital Reserve</t>
  </si>
  <si>
    <t>Trust Fund Interest</t>
  </si>
  <si>
    <t>Trust Fund Management Fees</t>
  </si>
  <si>
    <t>5/20/13</t>
  </si>
  <si>
    <t>6/12/14</t>
  </si>
  <si>
    <t>11/20/28</t>
  </si>
  <si>
    <t>12/15/39</t>
  </si>
  <si>
    <t>Student Activity Prior Year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</si>
</sst>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3" fontId="2" fillId="41" borderId="0" xfId="43" applyNumberFormat="1" applyFill="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343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1753518.17+100</f>
        <v>1753618.17</v>
      </c>
      <c r="G9" s="18"/>
      <c r="H9" s="18">
        <f>16182.47+6144.18+13846.05+89049.55</f>
        <v>125222.25</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-421501.13</v>
      </c>
      <c r="G12" s="18"/>
      <c r="H12" s="18"/>
      <c r="I12" s="18"/>
      <c r="J12" s="67">
        <f>SUM(I442)</f>
        <v>954312.82</v>
      </c>
      <c r="K12" s="24" t="s">
        <v>288</v>
      </c>
      <c r="L12" s="24" t="s">
        <v>288</v>
      </c>
      <c r="M12" s="8"/>
      <c r="N12" s="264"/>
    </row>
    <row r="13" spans="1:14" s="3" customFormat="1" ht="12.2" customHeight="1" x14ac:dyDescent="0.15">
      <c r="A13" s="1" t="s">
        <v>604</v>
      </c>
      <c r="B13" s="2" t="s">
        <v>289</v>
      </c>
      <c r="C13" s="6">
        <v>5</v>
      </c>
      <c r="D13" s="2" t="s">
        <v>428</v>
      </c>
      <c r="E13" s="6">
        <v>140</v>
      </c>
      <c r="F13" s="18">
        <v>65387.93</v>
      </c>
      <c r="G13" s="18">
        <v>393.75</v>
      </c>
      <c r="H13" s="18">
        <v>262837.09000000003</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10179.91</v>
      </c>
      <c r="G14" s="18">
        <v>50649.760000000002</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1407684.88</v>
      </c>
      <c r="G19" s="41">
        <f>SUM(G9:G18)</f>
        <v>51043.51</v>
      </c>
      <c r="H19" s="41">
        <f>SUM(H9:H18)</f>
        <v>388059.34</v>
      </c>
      <c r="I19" s="41">
        <f>SUM(I9:I18)</f>
        <v>0</v>
      </c>
      <c r="J19" s="41">
        <f>SUM(J9:J18)</f>
        <v>954312.82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-494047.11</v>
      </c>
      <c r="G22" s="18">
        <v>-18245.93</v>
      </c>
      <c r="H22" s="18">
        <f>262837.09-171696.42-231.95-116.81</f>
        <v>90791.910000000018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153871.47</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58451.12</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92.95</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16195.19</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-281631.57</v>
      </c>
      <c r="G32" s="41">
        <f>SUM(G22:G31)</f>
        <v>-2050.7399999999998</v>
      </c>
      <c r="H32" s="41">
        <f>SUM(H22:H31)</f>
        <v>90791.910000000018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105000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300000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f>31742.01+21352.24</f>
        <v>53094.25</v>
      </c>
      <c r="H48" s="18">
        <f>171696.42+231.95+116.81+125222.25</f>
        <v>297267.43000000005</v>
      </c>
      <c r="I48" s="18"/>
      <c r="J48" s="13">
        <f>SUM(I460)</f>
        <v>954312.82</v>
      </c>
      <c r="K48" s="24" t="s">
        <v>288</v>
      </c>
      <c r="L48" s="24" t="s">
        <v>288</v>
      </c>
      <c r="M48" s="8"/>
      <c r="N48" s="264"/>
    </row>
    <row r="49" spans="1:14" s="3" customFormat="1" ht="12.2" customHeight="1" x14ac:dyDescent="0.15">
      <c r="A49" s="1" t="s">
        <v>859</v>
      </c>
      <c r="B49" s="2" t="s">
        <v>289</v>
      </c>
      <c r="C49" s="6">
        <v>34</v>
      </c>
      <c r="D49" s="2"/>
      <c r="E49" s="6">
        <v>753</v>
      </c>
      <c r="F49" s="18">
        <f>77040.41</f>
        <v>77040.41</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1207276.04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1689316.4500000002</v>
      </c>
      <c r="G51" s="41">
        <f>SUM(G35:G50)</f>
        <v>53094.25</v>
      </c>
      <c r="H51" s="41">
        <f>SUM(H35:H50)</f>
        <v>297267.43000000005</v>
      </c>
      <c r="I51" s="41">
        <f>SUM(I35:I50)</f>
        <v>0</v>
      </c>
      <c r="J51" s="41">
        <f>SUM(J35:J50)</f>
        <v>954312.82</v>
      </c>
      <c r="K51" s="45" t="s">
        <v>288</v>
      </c>
      <c r="L51" s="45" t="s">
        <v>288</v>
      </c>
      <c r="N51" s="262"/>
    </row>
    <row r="52" spans="1:14" s="3" customFormat="1" ht="12.2" customHeight="1" thickTop="1" x14ac:dyDescent="0.15">
      <c r="A52" s="38" t="s">
        <v>455</v>
      </c>
      <c r="B52" s="39" t="s">
        <v>289</v>
      </c>
      <c r="C52" s="6">
        <v>37</v>
      </c>
      <c r="D52" s="39" t="s">
        <v>653</v>
      </c>
      <c r="E52" s="39"/>
      <c r="F52" s="41">
        <f>F51+F32</f>
        <v>1407684.8800000001</v>
      </c>
      <c r="G52" s="41">
        <f>G51+G32</f>
        <v>51043.51</v>
      </c>
      <c r="H52" s="41">
        <f>H51+H32</f>
        <v>388059.34000000008</v>
      </c>
      <c r="I52" s="41">
        <f>I51+I32</f>
        <v>0</v>
      </c>
      <c r="J52" s="41">
        <f>J51+J32</f>
        <v>954312.82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19976450.05</f>
        <v>19976450.050000001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19976450.050000001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f>31876</f>
        <v>31876</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f>40400+125</f>
        <v>40525</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6769.85</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6769.85</v>
      </c>
      <c r="G79" s="45" t="s">
        <v>288</v>
      </c>
      <c r="H79" s="41">
        <f>SUM(H63:H78)</f>
        <v>72401</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f>2624.83</f>
        <v>2624.83</v>
      </c>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f>5054+5225+3181</f>
        <v>13460</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f>5163.68+7395.57+1721.75+92440.33</f>
        <v>106721.33</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52659.57</v>
      </c>
      <c r="G110" s="18"/>
      <c r="H110" s="18">
        <v>18642.47</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55284.4</v>
      </c>
      <c r="G111" s="41">
        <f>SUM(G96:G110)</f>
        <v>13460</v>
      </c>
      <c r="H111" s="41">
        <f>SUM(H96:H110)</f>
        <v>125363.8</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20038504.300000001</v>
      </c>
      <c r="G112" s="41">
        <f>G60+G111</f>
        <v>13460</v>
      </c>
      <c r="H112" s="41">
        <f>H60+H79+H94+H111</f>
        <v>197764.8</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f>4833833.31</f>
        <v>4833833.3099999996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2214594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7052417.7299999995</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f>384771.05</f>
        <v>384771.05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f>134443.58</f>
        <v>134443.57999999999</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f>11983.13</f>
        <v>11983.13</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8625.05</f>
        <v>8625.0499999999993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531197.76</v>
      </c>
      <c r="G136" s="41">
        <f>SUM(G123:G135)</f>
        <v>8625.0499999999993</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7583615.4899999993</v>
      </c>
      <c r="G140" s="41">
        <f>G121+SUM(G136:G137)</f>
        <v>8625.0499999999993</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126697.66</f>
        <v>126697.66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23187.28+5950+8231.89+17510+23032.32+7000</f>
        <v>84911.489999999991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576914.05+131025.14</f>
        <v>707939.19000000006</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365790.72</f>
        <v>365790.71999999997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122520.54</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213600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219072.31+101869.91</f>
        <v>320942.21999999997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122520.54</v>
      </c>
      <c r="G163" s="41">
        <f>SUM(G150:G162)</f>
        <v>707939.19000000006</v>
      </c>
      <c r="H163" s="41">
        <f>SUM(H150:H162)</f>
        <v>1111942.0899999999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2154.13</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124674.67</v>
      </c>
      <c r="G170" s="41">
        <f>G147+G163+SUM(G164:G169)</f>
        <v>707939.19000000006</v>
      </c>
      <c r="H170" s="41">
        <f>H147+H163+SUM(H164:H169)</f>
        <v>1111942.0899999999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180000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180000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129805.8</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129805.8</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129805.8</v>
      </c>
      <c r="G193" s="41">
        <f>G184+SUM(G189:G192)</f>
        <v>0</v>
      </c>
      <c r="H193" s="41">
        <f>+H184+SUM(H189:H192)</f>
        <v>0</v>
      </c>
      <c r="I193" s="41">
        <f>I178+I184+SUM(I189:I192)</f>
        <v>0</v>
      </c>
      <c r="J193" s="41">
        <f>J184</f>
        <v>180000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27876600.260000002</v>
      </c>
      <c r="G194" s="47">
        <f>G112+G140+G170+G193</f>
        <v>730024.24000000011</v>
      </c>
      <c r="H194" s="47">
        <f>H112+H140+H170+H193</f>
        <v>1309706.8899999999</v>
      </c>
      <c r="I194" s="47">
        <f>I112+I140+I170+I193</f>
        <v>0</v>
      </c>
      <c r="J194" s="47">
        <f>J112+J140+J193</f>
        <v>180000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3693940.26+210075.89+107154.6+11872.28</f>
        <v>4023043.03</v>
      </c>
      <c r="G198" s="18">
        <f>1160095.63+62492.71+291827.73+3167.99+662485.16+71357.04+908.11</f>
        <v>2252334.3699999996</v>
      </c>
      <c r="H198" s="18">
        <f>1773.61+4000+66140.22</f>
        <v>71913.83</v>
      </c>
      <c r="I198" s="18">
        <f>68114.04+9400.82+24588.94+17337.97+538.44</f>
        <v>119980.20999999999</v>
      </c>
      <c r="J198" s="18">
        <f>775.1+1177.07+4878.22+6813.84+83801.95</f>
        <v>97446.18</v>
      </c>
      <c r="K198" s="18">
        <f>2352.33</f>
        <v>2352.33</v>
      </c>
      <c r="L198" s="19">
        <f>SUM(F198:K198)</f>
        <v>6567069.9499999993</v>
      </c>
      <c r="M198" s="8"/>
      <c r="N198" s="264"/>
    </row>
    <row r="199" spans="1:14" s="3" customFormat="1" ht="12.2" customHeight="1" x14ac:dyDescent="0.15">
      <c r="A199" s="1" t="s">
        <v>439</v>
      </c>
      <c r="B199" s="2" t="s">
        <v>341</v>
      </c>
      <c r="C199" s="2" t="s">
        <v>291</v>
      </c>
      <c r="D199" s="2" t="s">
        <v>431</v>
      </c>
      <c r="E199" s="6">
        <v>1200</v>
      </c>
      <c r="F199" s="18">
        <f>711836.09+1004980.84+436660.02+12515.63</f>
        <v>2165992.58</v>
      </c>
      <c r="G199" s="18">
        <f>827920.03+38707.37+126830.89+75459.2+126706.79+179818.54+1955.83</f>
        <v>1377398.6500000001</v>
      </c>
      <c r="H199" s="18">
        <f>605356.29+23044.59</f>
        <v>628400.88</v>
      </c>
      <c r="I199" s="18">
        <f>560.4+335.99+4476.83</f>
        <v>5373.22</v>
      </c>
      <c r="J199" s="18">
        <f>1551.65</f>
        <v>1551.65</v>
      </c>
      <c r="K199" s="18"/>
      <c r="L199" s="19">
        <f>SUM(F199:K199)</f>
        <v>4178716.9800000004</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33876</f>
        <v>33876</v>
      </c>
      <c r="G201" s="18">
        <f>2582.65+142.75+813.1</f>
        <v>3538.5</v>
      </c>
      <c r="H201" s="18">
        <f>1299+16149.96</f>
        <v>17448.96</v>
      </c>
      <c r="I201" s="18">
        <f>453.49</f>
        <v>453.49</v>
      </c>
      <c r="J201" s="18">
        <f>3109.35</f>
        <v>3109.35</v>
      </c>
      <c r="K201" s="18">
        <f>740</f>
        <v>740</v>
      </c>
      <c r="L201" s="19">
        <f>SUM(F201:K201)</f>
        <v>59166.299999999996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226477+178880.48+55000</f>
        <v>460357.48</v>
      </c>
      <c r="G203" s="18">
        <f>76839.4+4263.6+16797.39+40313+38419.7+2776.18+13290.15+31840.73+26843.3+1487.42+3881.72+6143.53</f>
        <v>262896.12000000005</v>
      </c>
      <c r="H203" s="18">
        <f>100+139700.26+188005.54+4330.85+4497.57</f>
        <v>336634.22000000003</v>
      </c>
      <c r="I203" s="18">
        <f>1798.46+3684.6</f>
        <v>5483.0599999999995</v>
      </c>
      <c r="J203" s="18">
        <f>138.99</f>
        <v>138.99</v>
      </c>
      <c r="K203" s="18">
        <f>3697.58</f>
        <v>3697.58</v>
      </c>
      <c r="L203" s="19">
        <f t="shared" ref="L203:L209" si="0">SUM(F203:K203)</f>
        <v>1069207.4500000002</v>
      </c>
      <c r="M203" s="8"/>
      <c r="N203" s="264"/>
    </row>
    <row r="204" spans="1:14" s="3" customFormat="1" ht="12.2" customHeight="1" x14ac:dyDescent="0.15">
      <c r="A204" s="1" t="s">
        <v>443</v>
      </c>
      <c r="B204" s="2" t="s">
        <v>341</v>
      </c>
      <c r="C204" s="2" t="s">
        <v>295</v>
      </c>
      <c r="D204" s="2" t="s">
        <v>431</v>
      </c>
      <c r="E204" s="6">
        <v>2200</v>
      </c>
      <c r="F204" s="18">
        <f>160700.22</f>
        <v>160700.22</v>
      </c>
      <c r="G204" s="18">
        <f>38419.7+1928.74+11925.85+28537.78+55479.56</f>
        <v>136291.63</v>
      </c>
      <c r="H204" s="18">
        <f>31545.25</f>
        <v>31545.25</v>
      </c>
      <c r="I204" s="18">
        <f>1772.35+17775.77+1011+6772.84</f>
        <v>27331.96</v>
      </c>
      <c r="J204" s="18">
        <f>1950</f>
        <v>1950</v>
      </c>
      <c r="K204" s="18"/>
      <c r="L204" s="19">
        <f t="shared" si="0"/>
        <v>357819.06</v>
      </c>
      <c r="M204" s="8"/>
      <c r="N204" s="264"/>
    </row>
    <row r="205" spans="1:14" s="3" customFormat="1" ht="12.2" customHeight="1" x14ac:dyDescent="0.15">
      <c r="A205" s="1" t="s">
        <v>444</v>
      </c>
      <c r="B205" s="2" t="s">
        <v>341</v>
      </c>
      <c r="C205" s="2" t="s">
        <v>296</v>
      </c>
      <c r="D205" s="2" t="s">
        <v>431</v>
      </c>
      <c r="E205" s="6">
        <v>2300</v>
      </c>
      <c r="F205" s="18">
        <f>3432+3813.98+1650+54945+465075.9</f>
        <v>528916.88</v>
      </c>
      <c r="G205" s="18">
        <f>262.59+675.51+126.22+12037.83+215240.82</f>
        <v>228342.97</v>
      </c>
      <c r="H205" s="18">
        <f>15422.18+38718.36+159333.97</f>
        <v>213474.51</v>
      </c>
      <c r="I205" s="18">
        <f>5062.4+101846.41</f>
        <v>106908.81</v>
      </c>
      <c r="J205" s="18">
        <f>4649.21+479.94</f>
        <v>5129.1499999999996</v>
      </c>
      <c r="K205" s="18">
        <f>3378.94</f>
        <v>3378.94</v>
      </c>
      <c r="L205" s="19">
        <f t="shared" si="0"/>
        <v>1086151.2599999998</v>
      </c>
      <c r="M205" s="8"/>
      <c r="N205" s="264"/>
    </row>
    <row r="206" spans="1:14" s="3" customFormat="1" ht="12.2" customHeight="1" x14ac:dyDescent="0.15">
      <c r="A206" s="1" t="s">
        <v>445</v>
      </c>
      <c r="B206" s="2" t="s">
        <v>341</v>
      </c>
      <c r="C206" s="2" t="s">
        <v>297</v>
      </c>
      <c r="D206" s="2" t="s">
        <v>431</v>
      </c>
      <c r="E206" s="6">
        <v>2400</v>
      </c>
      <c r="F206" s="18">
        <f>284748+200994.27+77000</f>
        <v>562742.27</v>
      </c>
      <c r="G206" s="18">
        <f>212081.03+11040.72+40870.4+22451.17+64035.1+5938.82</f>
        <v>356417.24</v>
      </c>
      <c r="H206" s="18">
        <f>2025.72+38114.68+4000+1555.16+30.59</f>
        <v>45726.15</v>
      </c>
      <c r="I206" s="18">
        <f>1946.71</f>
        <v>1946.71</v>
      </c>
      <c r="J206" s="18">
        <f>239+1731.84</f>
        <v>1970.84</v>
      </c>
      <c r="K206" s="18">
        <f>3839.89</f>
        <v>3839.89</v>
      </c>
      <c r="L206" s="19">
        <f t="shared" si="0"/>
        <v>972643.1</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293743.28+77427.39</f>
        <v>371170.67000000004</v>
      </c>
      <c r="G208" s="18">
        <f>95281.51+3291.16+22063.11+30106.64+18400.54</f>
        <v>169142.96</v>
      </c>
      <c r="H208" s="18">
        <f>10729.72+98698.51+76429.96+20874.89+58916.42+47338.33+42731.7+31406.93+3058.88</f>
        <v>390185.34</v>
      </c>
      <c r="I208" s="18">
        <f>43372.11+69266.63+728.38+14742.06+48636.96+1019.24+5284.68+11111.3+5257.12-10726.08</f>
        <v>188692.4</v>
      </c>
      <c r="J208" s="18">
        <f>756+26727.3+4278+10728.31-5257.12</f>
        <v>37232.49</v>
      </c>
      <c r="K208" s="18"/>
      <c r="L208" s="19">
        <f t="shared" si="0"/>
        <v>1156423.8599999999</v>
      </c>
      <c r="M208" s="8"/>
      <c r="N208" s="264"/>
    </row>
    <row r="209" spans="1:14" s="3" customFormat="1" ht="12.2" customHeight="1" x14ac:dyDescent="0.15">
      <c r="A209" s="1" t="s">
        <v>448</v>
      </c>
      <c r="B209" s="2" t="s">
        <v>341</v>
      </c>
      <c r="C209" s="2" t="s">
        <v>300</v>
      </c>
      <c r="D209" s="2" t="s">
        <v>431</v>
      </c>
      <c r="E209" s="6">
        <v>2700</v>
      </c>
      <c r="F209" s="18"/>
      <c r="G209" s="18"/>
      <c r="H209" s="18">
        <f>4394.09+2926.9+874622.8</f>
        <v>881943.79</v>
      </c>
      <c r="I209" s="18"/>
      <c r="J209" s="18"/>
      <c r="K209" s="18"/>
      <c r="L209" s="19">
        <f t="shared" si="0"/>
        <v>881943.79</v>
      </c>
      <c r="M209" s="8"/>
      <c r="N209" s="264"/>
    </row>
    <row r="210" spans="1:14" s="3" customFormat="1" ht="12.2" customHeight="1" x14ac:dyDescent="0.15">
      <c r="A210" s="1" t="s">
        <v>449</v>
      </c>
      <c r="B210" s="2" t="s">
        <v>341</v>
      </c>
      <c r="C210" s="2" t="s">
        <v>343</v>
      </c>
      <c r="D210" s="2" t="s">
        <v>431</v>
      </c>
      <c r="E210" s="6">
        <v>2800</v>
      </c>
      <c r="F210" s="18"/>
      <c r="G210" s="18"/>
      <c r="H210" s="18">
        <f>265.65+188.1</f>
        <v>453.75</v>
      </c>
      <c r="I210" s="18"/>
      <c r="J210" s="18">
        <f>17163.83</f>
        <v>17163.830000000002</v>
      </c>
      <c r="K210" s="18"/>
      <c r="L210" s="19">
        <f>SUM(F210:K210)</f>
        <v>17617.580000000002</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8306799.129999999</v>
      </c>
      <c r="G212" s="41">
        <f t="shared" si="1"/>
        <v>4786362.4399999995</v>
      </c>
      <c r="H212" s="41">
        <f t="shared" si="1"/>
        <v>2617726.6799999997</v>
      </c>
      <c r="I212" s="41">
        <f t="shared" si="1"/>
        <v>456169.86</v>
      </c>
      <c r="J212" s="41">
        <f t="shared" si="1"/>
        <v>165692.47999999998</v>
      </c>
      <c r="K212" s="41">
        <f t="shared" si="1"/>
        <v>14008.74</v>
      </c>
      <c r="L212" s="41">
        <f t="shared" si="1"/>
        <v>16346759.33</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1625738.67+63388.15+55200.86+6116.02</f>
        <v>1750443.7</v>
      </c>
      <c r="G234" s="18">
        <f>532333.19+27588.04+125122.13+7403.62+288747.47+36759.68+467.82</f>
        <v>1018421.95</v>
      </c>
      <c r="H234" s="18">
        <f>572.29+13784.17+12822.23</f>
        <v>27178.69</v>
      </c>
      <c r="I234" s="18">
        <f>42318.84+4483.05+46208.2+2582.07+277.38</f>
        <v>95869.540000000008</v>
      </c>
      <c r="J234" s="18">
        <f>1612.69+10025.38+67.46+43170.7</f>
        <v>54876.229999999996</v>
      </c>
      <c r="K234" s="18">
        <f>4951</f>
        <v>4951</v>
      </c>
      <c r="L234" s="19">
        <f>SUM(F234:K234)</f>
        <v>2951741.11</v>
      </c>
      <c r="M234" s="8"/>
      <c r="N234" s="264"/>
    </row>
    <row r="235" spans="1:14" s="3" customFormat="1" ht="12.2" customHeight="1" x14ac:dyDescent="0.15">
      <c r="A235" s="1" t="s">
        <v>439</v>
      </c>
      <c r="B235" s="2" t="s">
        <v>350</v>
      </c>
      <c r="C235" s="2" t="s">
        <v>291</v>
      </c>
      <c r="D235" s="2" t="s">
        <v>431</v>
      </c>
      <c r="E235" s="6">
        <v>1200</v>
      </c>
      <c r="F235" s="18">
        <f>300336+117247.37+224946.07</f>
        <v>642529.43999999994</v>
      </c>
      <c r="G235" s="18">
        <f>219370.73+10812.54+30227.64+11028.47+53459.81+92633.8</f>
        <v>417532.99</v>
      </c>
      <c r="H235" s="18">
        <f>16923+273280.22+374465.53+286187.14</f>
        <v>950855.89</v>
      </c>
      <c r="I235" s="18">
        <f>412.65+2306.25</f>
        <v>2718.9</v>
      </c>
      <c r="J235" s="18">
        <f>878.99+799.34</f>
        <v>1678.33</v>
      </c>
      <c r="K235" s="18"/>
      <c r="L235" s="19">
        <f>SUM(F235:K235)</f>
        <v>2015315.5499999998</v>
      </c>
      <c r="M235" s="8"/>
      <c r="N235" s="264"/>
    </row>
    <row r="236" spans="1:14" s="3" customFormat="1" ht="12.2" customHeight="1" x14ac:dyDescent="0.15">
      <c r="A236" s="1" t="s">
        <v>440</v>
      </c>
      <c r="B236" s="2" t="s">
        <v>350</v>
      </c>
      <c r="C236" s="2" t="s">
        <v>292</v>
      </c>
      <c r="D236" s="2" t="s">
        <v>431</v>
      </c>
      <c r="E236" s="6">
        <v>1300</v>
      </c>
      <c r="F236" s="18"/>
      <c r="G236" s="18"/>
      <c r="H236" s="18">
        <f>452838.52</f>
        <v>452838.52</v>
      </c>
      <c r="I236" s="18"/>
      <c r="J236" s="18"/>
      <c r="K236" s="18"/>
      <c r="L236" s="19">
        <f>SUM(F236:K236)</f>
        <v>452838.52</v>
      </c>
      <c r="M236" s="8"/>
      <c r="N236" s="264"/>
    </row>
    <row r="237" spans="1:14" s="3" customFormat="1" ht="12.2" customHeight="1" x14ac:dyDescent="0.15">
      <c r="A237" s="1" t="s">
        <v>441</v>
      </c>
      <c r="B237" s="2" t="s">
        <v>350</v>
      </c>
      <c r="C237" s="2" t="s">
        <v>293</v>
      </c>
      <c r="D237" s="2" t="s">
        <v>431</v>
      </c>
      <c r="E237" s="6">
        <v>1400</v>
      </c>
      <c r="F237" s="18">
        <f>117090.5</f>
        <v>117090.5</v>
      </c>
      <c r="G237" s="18">
        <f>4518.8+1487.42+8897.88+210.66+13440.54</f>
        <v>28555.3</v>
      </c>
      <c r="H237" s="18">
        <f>13108.92+75835.84</f>
        <v>88944.76</v>
      </c>
      <c r="I237" s="18">
        <f>19738.13</f>
        <v>19738.13</v>
      </c>
      <c r="J237" s="18">
        <f>35293.05</f>
        <v>35293.050000000003</v>
      </c>
      <c r="K237" s="18">
        <f>5326.26</f>
        <v>5326.26</v>
      </c>
      <c r="L237" s="19">
        <f>SUM(F237:K237)</f>
        <v>294948</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131466.69+67576</f>
        <v>199042.69</v>
      </c>
      <c r="G239" s="18">
        <f>42007.16+2469.62+9706.27+23401.14+27801.96+1475+4995.94+12028.56</f>
        <v>123885.65</v>
      </c>
      <c r="H239" s="18">
        <f>3974+850+71966.8+96851.34+2231.04+2316.93</f>
        <v>178190.11000000002</v>
      </c>
      <c r="I239" s="18">
        <f>62.32</f>
        <v>62.32</v>
      </c>
      <c r="J239" s="18">
        <f>921.07</f>
        <v>921.07</v>
      </c>
      <c r="K239" s="18">
        <f>1904.81</f>
        <v>1904.81</v>
      </c>
      <c r="L239" s="19">
        <f t="shared" ref="L239:L245" si="4">SUM(F239:K239)</f>
        <v>504006.64999999997</v>
      </c>
      <c r="M239" s="8"/>
      <c r="N239" s="264"/>
    </row>
    <row r="240" spans="1:14" s="3" customFormat="1" ht="12.2" customHeight="1" x14ac:dyDescent="0.15">
      <c r="A240" s="1" t="s">
        <v>443</v>
      </c>
      <c r="B240" s="2" t="s">
        <v>350</v>
      </c>
      <c r="C240" s="2" t="s">
        <v>295</v>
      </c>
      <c r="D240" s="2" t="s">
        <v>431</v>
      </c>
      <c r="E240" s="6">
        <v>2200</v>
      </c>
      <c r="F240" s="18">
        <f>49058+5497.83</f>
        <v>54555.83</v>
      </c>
      <c r="G240" s="18">
        <f>28036.36+1487.42+4041.09+8753.92+28580.38</f>
        <v>70899.17</v>
      </c>
      <c r="H240" s="18">
        <f>16250.58</f>
        <v>16250.58</v>
      </c>
      <c r="I240" s="18">
        <f>3139.95+9066.61+3489.04</f>
        <v>15695.600000000002</v>
      </c>
      <c r="J240" s="18">
        <f>144.48</f>
        <v>144.47999999999999</v>
      </c>
      <c r="K240" s="18"/>
      <c r="L240" s="19">
        <f t="shared" si="4"/>
        <v>157545.66</v>
      </c>
      <c r="M240" s="8"/>
      <c r="N240" s="264"/>
    </row>
    <row r="241" spans="1:14" s="3" customFormat="1" ht="12.2" customHeight="1" x14ac:dyDescent="0.15">
      <c r="A241" s="1" t="s">
        <v>444</v>
      </c>
      <c r="B241" s="2" t="s">
        <v>350</v>
      </c>
      <c r="C241" s="2" t="s">
        <v>296</v>
      </c>
      <c r="D241" s="2" t="s">
        <v>431</v>
      </c>
      <c r="E241" s="6">
        <v>2300</v>
      </c>
      <c r="F241" s="18">
        <f>1768+1964.78+850+28305+239584.55</f>
        <v>272472.32999999996</v>
      </c>
      <c r="G241" s="18">
        <f>135.27+347.99+65.02+6201.3+110881.64</f>
        <v>117631.22</v>
      </c>
      <c r="H241" s="18">
        <f>7944.76+19945.82+82081.14</f>
        <v>109971.72</v>
      </c>
      <c r="I241" s="18">
        <f>2607.9+52466.33</f>
        <v>55074.23</v>
      </c>
      <c r="J241" s="18">
        <f>2395.05+247.24</f>
        <v>2642.29</v>
      </c>
      <c r="K241" s="18">
        <f>1740.67</f>
        <v>1740.67</v>
      </c>
      <c r="L241" s="19">
        <f t="shared" si="4"/>
        <v>559532.46</v>
      </c>
      <c r="M241" s="8"/>
      <c r="N241" s="264"/>
    </row>
    <row r="242" spans="1:14" s="3" customFormat="1" ht="12.2" customHeight="1" x14ac:dyDescent="0.15">
      <c r="A242" s="1" t="s">
        <v>445</v>
      </c>
      <c r="B242" s="2" t="s">
        <v>350</v>
      </c>
      <c r="C242" s="2" t="s">
        <v>297</v>
      </c>
      <c r="D242" s="2" t="s">
        <v>431</v>
      </c>
      <c r="E242" s="6">
        <v>2400</v>
      </c>
      <c r="F242" s="18">
        <f>100940+116189.57+88000</f>
        <v>305129.57</v>
      </c>
      <c r="G242" s="18">
        <f>108829.06+6683.95+22329.07+12978.47+32919.38</f>
        <v>183739.93</v>
      </c>
      <c r="H242" s="18">
        <f>886.36+13807.9+1469.98+2106.94</f>
        <v>18271.18</v>
      </c>
      <c r="I242" s="18">
        <f>1112.64</f>
        <v>1112.6400000000001</v>
      </c>
      <c r="J242" s="18"/>
      <c r="K242" s="18">
        <v>1620</v>
      </c>
      <c r="L242" s="19">
        <f t="shared" si="4"/>
        <v>509873.32</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f>220314.96+39886.83</f>
        <v>260201.78999999998</v>
      </c>
      <c r="G244" s="18">
        <f>100447.08+4392.08+16167.53+24609.12+9479.07</f>
        <v>155094.88</v>
      </c>
      <c r="H244" s="18">
        <f>2260+25637.78+37685.27+3600.33+26661.63+16200.99+42731.7+16179.33+1575.78</f>
        <v>172532.81</v>
      </c>
      <c r="I244" s="18">
        <f>22512.31+76553.64+3015.85+8346.72+31236+592.9+3096.22+5724.01+2708.21-5525.55</f>
        <v>148260.31000000003</v>
      </c>
      <c r="J244" s="18">
        <f>2325.85+3695+5526.71-2708.21</f>
        <v>8839.3500000000022</v>
      </c>
      <c r="K244" s="18"/>
      <c r="L244" s="19">
        <f t="shared" si="4"/>
        <v>744929.14</v>
      </c>
      <c r="M244" s="8"/>
      <c r="N244" s="264"/>
    </row>
    <row r="245" spans="1:14" s="3" customFormat="1" ht="12.2" customHeight="1" x14ac:dyDescent="0.15">
      <c r="A245" s="1" t="s">
        <v>448</v>
      </c>
      <c r="B245" s="2" t="s">
        <v>350</v>
      </c>
      <c r="C245" s="2" t="s">
        <v>300</v>
      </c>
      <c r="D245" s="2" t="s">
        <v>431</v>
      </c>
      <c r="E245" s="6">
        <v>2700</v>
      </c>
      <c r="F245" s="18"/>
      <c r="G245" s="18"/>
      <c r="H245" s="18">
        <f>97121.8+21690.13+391.5+450563.26</f>
        <v>569766.69000000006</v>
      </c>
      <c r="I245" s="18"/>
      <c r="J245" s="18"/>
      <c r="K245" s="18"/>
      <c r="L245" s="19">
        <f t="shared" si="4"/>
        <v>569766.69000000006</v>
      </c>
      <c r="M245" s="8"/>
      <c r="N245" s="264"/>
    </row>
    <row r="246" spans="1:14" s="3" customFormat="1" ht="12.2" customHeight="1" x14ac:dyDescent="0.15">
      <c r="A246" s="1" t="s">
        <v>449</v>
      </c>
      <c r="B246" s="2" t="s">
        <v>350</v>
      </c>
      <c r="C246" s="2" t="s">
        <v>343</v>
      </c>
      <c r="D246" s="2" t="s">
        <v>431</v>
      </c>
      <c r="E246" s="6">
        <v>2800</v>
      </c>
      <c r="F246" s="18"/>
      <c r="G246" s="18"/>
      <c r="H246" s="18">
        <f>136.85+96.9</f>
        <v>233.75</v>
      </c>
      <c r="I246" s="18"/>
      <c r="J246" s="18">
        <f>8841.97</f>
        <v>8841.9699999999993</v>
      </c>
      <c r="K246" s="18"/>
      <c r="L246" s="19">
        <f>SUM(F246:K246)</f>
        <v>9075.7199999999993</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3601465.8499999996</v>
      </c>
      <c r="G248" s="41">
        <f t="shared" si="5"/>
        <v>2115761.09</v>
      </c>
      <c r="H248" s="41">
        <f t="shared" si="5"/>
        <v>2585034.7000000002</v>
      </c>
      <c r="I248" s="41">
        <f t="shared" si="5"/>
        <v>338531.67000000004</v>
      </c>
      <c r="J248" s="41">
        <f t="shared" si="5"/>
        <v>113236.77</v>
      </c>
      <c r="K248" s="41">
        <f t="shared" si="5"/>
        <v>15542.74</v>
      </c>
      <c r="L248" s="41">
        <f t="shared" si="5"/>
        <v>8769572.8200000003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f>88800+15000</f>
        <v>103800</v>
      </c>
      <c r="K256" s="18"/>
      <c r="L256" s="19">
        <f t="shared" si="6"/>
        <v>103800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103800</v>
      </c>
      <c r="K257" s="41">
        <f t="shared" si="7"/>
        <v>0</v>
      </c>
      <c r="L257" s="41">
        <f>SUM(F257:K257)</f>
        <v>103800</v>
      </c>
      <c r="M257" s="8"/>
      <c r="N257" s="264"/>
    </row>
    <row r="258" spans="1:14" s="3" customFormat="1" ht="12.2" customHeight="1" thickTop="1" x14ac:dyDescent="0.15">
      <c r="A258" s="38" t="s">
        <v>462</v>
      </c>
      <c r="B258" s="40">
        <v>10</v>
      </c>
      <c r="C258" s="40">
        <v>8</v>
      </c>
      <c r="D258" s="39" t="s">
        <v>431</v>
      </c>
      <c r="E258" s="40"/>
      <c r="F258" s="41">
        <f t="shared" ref="F258:L258" si="8">F212+F230+F248+F257</f>
        <v>11908264.979999999</v>
      </c>
      <c r="G258" s="41">
        <f t="shared" si="8"/>
        <v>6902123.5299999993</v>
      </c>
      <c r="H258" s="41">
        <f t="shared" si="8"/>
        <v>5202761.38</v>
      </c>
      <c r="I258" s="41">
        <f t="shared" si="8"/>
        <v>794701.53</v>
      </c>
      <c r="J258" s="41">
        <f t="shared" si="8"/>
        <v>382729.25</v>
      </c>
      <c r="K258" s="41">
        <f t="shared" si="8"/>
        <v>29551.48</v>
      </c>
      <c r="L258" s="41">
        <f t="shared" si="8"/>
        <v>25220132.149999999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131653.26+624183.86</f>
        <v>755837.12</v>
      </c>
      <c r="L261" s="19">
        <f>SUM(F261:K261)</f>
        <v>755837.12</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36403.74+734270.74</f>
        <v>770674.48</v>
      </c>
      <c r="L262" s="19">
        <f>SUM(F262:K262)</f>
        <v>770674.48</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180000</v>
      </c>
      <c r="L267" s="19">
        <f t="shared" si="9"/>
        <v>180000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41250</v>
      </c>
      <c r="L269" s="19">
        <f t="shared" si="9"/>
        <v>41250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1747761.6</v>
      </c>
      <c r="L271" s="41">
        <f t="shared" si="9"/>
        <v>1747761.6</v>
      </c>
      <c r="M271" s="8"/>
      <c r="N271" s="264"/>
    </row>
    <row r="272" spans="1:14" s="34" customFormat="1" ht="12.2" customHeight="1" thickTop="1" x14ac:dyDescent="0.2">
      <c r="A272" s="43" t="s">
        <v>464</v>
      </c>
      <c r="B272" s="40">
        <v>10</v>
      </c>
      <c r="C272" s="40">
        <v>18</v>
      </c>
      <c r="D272" s="39" t="s">
        <v>431</v>
      </c>
      <c r="E272" s="40"/>
      <c r="F272" s="42">
        <f t="shared" ref="F272:L272" si="11">F258+F271</f>
        <v>11908264.979999999</v>
      </c>
      <c r="G272" s="42">
        <f t="shared" si="11"/>
        <v>6902123.5299999993</v>
      </c>
      <c r="H272" s="42">
        <f t="shared" si="11"/>
        <v>5202761.38</v>
      </c>
      <c r="I272" s="42">
        <f t="shared" si="11"/>
        <v>794701.53</v>
      </c>
      <c r="J272" s="42">
        <f t="shared" si="11"/>
        <v>382729.25</v>
      </c>
      <c r="K272" s="42">
        <f t="shared" si="11"/>
        <v>1777313.08</v>
      </c>
      <c r="L272" s="42">
        <f t="shared" si="11"/>
        <v>26967893.75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31876.07</f>
        <v>31876.07</v>
      </c>
      <c r="G277" s="18"/>
      <c r="H277" s="18">
        <f>480+1500+20499.14</f>
        <v>22479.14</v>
      </c>
      <c r="I277" s="18">
        <f>11672.88+1358.36+3000+20401.31</f>
        <v>36432.550000000003</v>
      </c>
      <c r="J277" s="18">
        <f>168.31+600+251.9+91677.49</f>
        <v>92697.700000000012</v>
      </c>
      <c r="K277" s="18"/>
      <c r="L277" s="19">
        <f>SUM(F277:K277)</f>
        <v>183485.46000000002</v>
      </c>
      <c r="M277" s="8"/>
      <c r="N277" s="264"/>
    </row>
    <row r="278" spans="1:14" s="3" customFormat="1" ht="12.2" customHeight="1" x14ac:dyDescent="0.15">
      <c r="A278" s="1" t="s">
        <v>439</v>
      </c>
      <c r="B278" s="2" t="s">
        <v>357</v>
      </c>
      <c r="C278" s="2" t="s">
        <v>291</v>
      </c>
      <c r="D278" s="2" t="s">
        <v>431</v>
      </c>
      <c r="E278" s="6">
        <v>1200</v>
      </c>
      <c r="F278" s="18">
        <f>77210+28030.72+9942.38</f>
        <v>115183.1</v>
      </c>
      <c r="G278" s="18">
        <f>24829.13+25933.02+2524.99</f>
        <v>53287.14</v>
      </c>
      <c r="H278" s="18">
        <f>67575.3+1847.74+2141.7+1599.6+3811.5</f>
        <v>76975.840000000011</v>
      </c>
      <c r="I278" s="18">
        <f>12691.57+10573.11+4910.29+5386.08+3000</f>
        <v>36561.050000000003</v>
      </c>
      <c r="J278" s="18">
        <f>10389.94+545.15+1647.34+5410.04</f>
        <v>17992.47</v>
      </c>
      <c r="K278" s="18">
        <v>1413.4</v>
      </c>
      <c r="L278" s="19">
        <f>SUM(F278:K278)</f>
        <v>301413</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88497+466.13</f>
        <v>88963.13</v>
      </c>
      <c r="G282" s="18">
        <f>8546.23+46.99</f>
        <v>8593.2199999999993</v>
      </c>
      <c r="H282" s="18">
        <f>3217.5+116.84+13503.6+15348.58</f>
        <v>32186.520000000004</v>
      </c>
      <c r="I282" s="18">
        <f>4896.78+2269.44</f>
        <v>7166.2199999999993</v>
      </c>
      <c r="J282" s="18">
        <f>20736.79</f>
        <v>20736.79</v>
      </c>
      <c r="K282" s="18">
        <f>4617.16</f>
        <v>4617.16</v>
      </c>
      <c r="L282" s="19">
        <f t="shared" ref="L282:L288" si="12">SUM(F282:K282)</f>
        <v>162263.04000000001</v>
      </c>
      <c r="M282" s="8"/>
      <c r="N282" s="264"/>
    </row>
    <row r="283" spans="1:14" s="3" customFormat="1" ht="12.2" customHeight="1" x14ac:dyDescent="0.15">
      <c r="A283" s="1" t="s">
        <v>443</v>
      </c>
      <c r="B283" s="2" t="s">
        <v>357</v>
      </c>
      <c r="C283" s="2" t="s">
        <v>295</v>
      </c>
      <c r="D283" s="2" t="s">
        <v>431</v>
      </c>
      <c r="E283" s="6">
        <v>2200</v>
      </c>
      <c r="F283" s="18">
        <f>11649+12000</f>
        <v>23649</v>
      </c>
      <c r="G283" s="18">
        <f>1781.6+3020.51</f>
        <v>4802.1100000000006</v>
      </c>
      <c r="H283" s="18">
        <f>32430.55+19073.52+7339.2</f>
        <v>58843.27</v>
      </c>
      <c r="I283" s="18">
        <f>67455.33+1683.92</f>
        <v>69139.25</v>
      </c>
      <c r="J283" s="18"/>
      <c r="K283" s="18"/>
      <c r="L283" s="19">
        <f t="shared" si="12"/>
        <v>156433.63</v>
      </c>
      <c r="M283" s="8"/>
      <c r="N283" s="264"/>
    </row>
    <row r="284" spans="1:14" s="3" customFormat="1" ht="12.2" customHeight="1" x14ac:dyDescent="0.15">
      <c r="A284" s="1" t="s">
        <v>444</v>
      </c>
      <c r="B284" s="2" t="s">
        <v>357</v>
      </c>
      <c r="C284" s="2" t="s">
        <v>296</v>
      </c>
      <c r="D284" s="2" t="s">
        <v>431</v>
      </c>
      <c r="E284" s="6">
        <v>2300</v>
      </c>
      <c r="F284" s="18"/>
      <c r="G284" s="18"/>
      <c r="H284" s="18">
        <f>2409.33</f>
        <v>2409.33</v>
      </c>
      <c r="I284" s="18">
        <f>12779.39</f>
        <v>12779.39</v>
      </c>
      <c r="J284" s="18"/>
      <c r="K284" s="18"/>
      <c r="L284" s="19">
        <f t="shared" si="12"/>
        <v>15188.72</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f>1531.5</f>
        <v>1531.5</v>
      </c>
      <c r="I287" s="18">
        <f>18586.45</f>
        <v>18586.45</v>
      </c>
      <c r="J287" s="18">
        <f>37891.36+1672</f>
        <v>39563.360000000001</v>
      </c>
      <c r="K287" s="18"/>
      <c r="L287" s="19">
        <f t="shared" si="12"/>
        <v>59681.31</v>
      </c>
      <c r="M287" s="8"/>
      <c r="N287" s="264"/>
    </row>
    <row r="288" spans="1:14" s="3" customFormat="1" ht="12.2" customHeight="1" x14ac:dyDescent="0.15">
      <c r="A288" s="1" t="s">
        <v>448</v>
      </c>
      <c r="B288" s="2" t="s">
        <v>357</v>
      </c>
      <c r="C288" s="2" t="s">
        <v>300</v>
      </c>
      <c r="D288" s="2" t="s">
        <v>431</v>
      </c>
      <c r="E288" s="6">
        <v>2700</v>
      </c>
      <c r="F288" s="18"/>
      <c r="G288" s="18"/>
      <c r="H288" s="18">
        <f>31417.79</f>
        <v>31417.79</v>
      </c>
      <c r="I288" s="18"/>
      <c r="J288" s="18"/>
      <c r="K288" s="18"/>
      <c r="L288" s="19">
        <f t="shared" si="12"/>
        <v>31417.79</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259671.30000000002</v>
      </c>
      <c r="G291" s="42">
        <f t="shared" si="13"/>
        <v>66682.47</v>
      </c>
      <c r="H291" s="42">
        <f t="shared" si="13"/>
        <v>225843.38999999998</v>
      </c>
      <c r="I291" s="42">
        <f t="shared" si="13"/>
        <v>180664.91000000003</v>
      </c>
      <c r="J291" s="42">
        <f t="shared" si="13"/>
        <v>170990.32</v>
      </c>
      <c r="K291" s="42">
        <f t="shared" si="13"/>
        <v>6030.5599999999995</v>
      </c>
      <c r="L291" s="41">
        <f t="shared" si="13"/>
        <v>909882.95</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28074.5+2500</f>
        <v>30574.5</v>
      </c>
      <c r="G315" s="18">
        <f>2289.67+279.24+3678.42</f>
        <v>6247.33</v>
      </c>
      <c r="H315" s="18">
        <f>1184.73+281.2+1032.39+2174.21+10560.16</f>
        <v>15232.69</v>
      </c>
      <c r="I315" s="18">
        <f>5675.56+1794.6+2145.8+198.68</f>
        <v>9814.64</v>
      </c>
      <c r="J315" s="18">
        <f>47227.8+133.71</f>
        <v>47361.51</v>
      </c>
      <c r="K315" s="18"/>
      <c r="L315" s="19">
        <f>SUM(F315:K315)</f>
        <v>109230.67000000001</v>
      </c>
      <c r="M315" s="8"/>
      <c r="N315" s="264"/>
    </row>
    <row r="316" spans="1:14" s="3" customFormat="1" ht="12.2" customHeight="1" x14ac:dyDescent="0.15">
      <c r="A316" s="1" t="s">
        <v>439</v>
      </c>
      <c r="B316" s="2" t="s">
        <v>359</v>
      </c>
      <c r="C316" s="2" t="s">
        <v>291</v>
      </c>
      <c r="D316" s="2" t="s">
        <v>431</v>
      </c>
      <c r="E316" s="6">
        <v>1200</v>
      </c>
      <c r="F316" s="18"/>
      <c r="G316" s="18"/>
      <c r="H316" s="18">
        <f>55523.7+951.86+1103.3+728.11+1963.5</f>
        <v>60270.47</v>
      </c>
      <c r="I316" s="18">
        <f>6132.34+5109.94+1913.12+484.33</f>
        <v>13639.729999999998</v>
      </c>
      <c r="J316" s="18">
        <f>5352.4+280.84+609.28</f>
        <v>6242.5199999999995</v>
      </c>
      <c r="K316" s="18"/>
      <c r="L316" s="19">
        <f>SUM(F316:K316)</f>
        <v>80152.72</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f>3268.03</f>
        <v>3268.03</v>
      </c>
      <c r="J318" s="18"/>
      <c r="K318" s="18"/>
      <c r="L318" s="19">
        <f>SUM(F318:K318)</f>
        <v>3268.03</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240.13</f>
        <v>240.13</v>
      </c>
      <c r="G320" s="18">
        <f>24.21</f>
        <v>24.21</v>
      </c>
      <c r="H320" s="18">
        <f>1657.5+6956.4</f>
        <v>8613.9</v>
      </c>
      <c r="I320" s="18">
        <f>60.19</f>
        <v>60.19</v>
      </c>
      <c r="J320" s="18">
        <f>10682.59</f>
        <v>10682.59</v>
      </c>
      <c r="K320" s="18"/>
      <c r="L320" s="19">
        <f t="shared" ref="L320:L326" si="16">SUM(F320:K320)</f>
        <v>19621.02</v>
      </c>
      <c r="M320" s="8"/>
      <c r="N320" s="264"/>
    </row>
    <row r="321" spans="1:14" s="3" customFormat="1" ht="12.2" customHeight="1" x14ac:dyDescent="0.15">
      <c r="A321" s="1" t="s">
        <v>443</v>
      </c>
      <c r="B321" s="2" t="s">
        <v>359</v>
      </c>
      <c r="C321" s="2" t="s">
        <v>295</v>
      </c>
      <c r="D321" s="2" t="s">
        <v>431</v>
      </c>
      <c r="E321" s="6">
        <v>2200</v>
      </c>
      <c r="F321" s="18">
        <f>6001</f>
        <v>6001</v>
      </c>
      <c r="G321" s="18">
        <f>917.79</f>
        <v>917.79</v>
      </c>
      <c r="H321" s="18">
        <f>7820.28+9825.76+3780.8+98626.48</f>
        <v>120053.31999999999</v>
      </c>
      <c r="I321" s="18">
        <f>34749.72+867.47</f>
        <v>35617.19</v>
      </c>
      <c r="J321" s="18"/>
      <c r="K321" s="18"/>
      <c r="L321" s="19">
        <f t="shared" si="16"/>
        <v>162589.29999999999</v>
      </c>
      <c r="M321" s="8"/>
      <c r="N321" s="264"/>
    </row>
    <row r="322" spans="1:14" s="3" customFormat="1" ht="12.2" customHeight="1" x14ac:dyDescent="0.15">
      <c r="A322" s="1" t="s">
        <v>444</v>
      </c>
      <c r="B322" s="2" t="s">
        <v>359</v>
      </c>
      <c r="C322" s="2" t="s">
        <v>296</v>
      </c>
      <c r="D322" s="2" t="s">
        <v>431</v>
      </c>
      <c r="E322" s="6">
        <v>2300</v>
      </c>
      <c r="F322" s="18"/>
      <c r="G322" s="18"/>
      <c r="H322" s="18">
        <f>1241.17</f>
        <v>1241.17</v>
      </c>
      <c r="I322" s="18">
        <f>6583.32</f>
        <v>6583.32</v>
      </c>
      <c r="J322" s="18"/>
      <c r="K322" s="18"/>
      <c r="L322" s="19">
        <f t="shared" si="16"/>
        <v>7824.49</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f>1500</f>
        <v>1500</v>
      </c>
      <c r="I325" s="18">
        <f>9574.85</f>
        <v>9574.85</v>
      </c>
      <c r="J325" s="18">
        <f>19519.79</f>
        <v>19519.79</v>
      </c>
      <c r="K325" s="18"/>
      <c r="L325" s="19">
        <f t="shared" si="16"/>
        <v>30594.639999999999</v>
      </c>
      <c r="M325" s="8"/>
      <c r="N325" s="264"/>
    </row>
    <row r="326" spans="1:14" s="3" customFormat="1" ht="12.2" customHeight="1" x14ac:dyDescent="0.15">
      <c r="A326" s="1" t="s">
        <v>448</v>
      </c>
      <c r="B326" s="2" t="s">
        <v>359</v>
      </c>
      <c r="C326" s="2" t="s">
        <v>300</v>
      </c>
      <c r="D326" s="2" t="s">
        <v>431</v>
      </c>
      <c r="E326" s="6">
        <v>2700</v>
      </c>
      <c r="F326" s="18"/>
      <c r="G326" s="18"/>
      <c r="H326" s="18">
        <f>7910.4+16184.92</f>
        <v>24095.32</v>
      </c>
      <c r="I326" s="18"/>
      <c r="J326" s="18"/>
      <c r="K326" s="18"/>
      <c r="L326" s="19">
        <f t="shared" si="16"/>
        <v>24095.32</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36815.630000000005</v>
      </c>
      <c r="G329" s="42">
        <f t="shared" si="17"/>
        <v>7189.33</v>
      </c>
      <c r="H329" s="42">
        <f t="shared" si="17"/>
        <v>231006.87000000002</v>
      </c>
      <c r="I329" s="42">
        <f t="shared" si="17"/>
        <v>78557.950000000012</v>
      </c>
      <c r="J329" s="42">
        <f t="shared" si="17"/>
        <v>83806.41</v>
      </c>
      <c r="K329" s="42">
        <f t="shared" si="17"/>
        <v>0</v>
      </c>
      <c r="L329" s="41">
        <f t="shared" si="17"/>
        <v>437376.19</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296486.93000000005</v>
      </c>
      <c r="G339" s="41">
        <f t="shared" si="20"/>
        <v>73871.8</v>
      </c>
      <c r="H339" s="41">
        <f t="shared" si="20"/>
        <v>456850.26</v>
      </c>
      <c r="I339" s="41">
        <f t="shared" si="20"/>
        <v>259222.86000000004</v>
      </c>
      <c r="J339" s="41">
        <f t="shared" si="20"/>
        <v>254796.73</v>
      </c>
      <c r="K339" s="41">
        <f t="shared" si="20"/>
        <v>6030.5599999999995</v>
      </c>
      <c r="L339" s="41">
        <f t="shared" si="20"/>
        <v>1347259.14</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296486.93000000005</v>
      </c>
      <c r="G353" s="41">
        <f>G339</f>
        <v>73871.8</v>
      </c>
      <c r="H353" s="41">
        <f>H339</f>
        <v>456850.26</v>
      </c>
      <c r="I353" s="41">
        <f>I339</f>
        <v>259222.86000000004</v>
      </c>
      <c r="J353" s="41">
        <f>J339</f>
        <v>254796.73</v>
      </c>
      <c r="K353" s="47">
        <f>K339+K352</f>
        <v>6030.5599999999995</v>
      </c>
      <c r="L353" s="41">
        <f>L339+L352</f>
        <v>1347259.14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f>467723.52</f>
        <v>467723.52000000002</v>
      </c>
      <c r="I359" s="18"/>
      <c r="J359" s="18"/>
      <c r="K359" s="18"/>
      <c r="L359" s="13">
        <f>SUM(F359:K359)</f>
        <v>467723.52000000002</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f>240948.48</f>
        <v>240948.48000000001</v>
      </c>
      <c r="I361" s="18"/>
      <c r="J361" s="18"/>
      <c r="K361" s="18"/>
      <c r="L361" s="19">
        <f>SUM(F361:K361)</f>
        <v>240948.48000000001</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708672</v>
      </c>
      <c r="I363" s="47">
        <f t="shared" si="22"/>
        <v>0</v>
      </c>
      <c r="J363" s="47">
        <f t="shared" si="22"/>
        <v>0</v>
      </c>
      <c r="K363" s="47">
        <f t="shared" si="22"/>
        <v>0</v>
      </c>
      <c r="L363" s="47">
        <f t="shared" si="22"/>
        <v>708672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100000</v>
      </c>
      <c r="H397" s="18"/>
      <c r="I397" s="18"/>
      <c r="J397" s="24" t="s">
        <v>288</v>
      </c>
      <c r="K397" s="24" t="s">
        <v>288</v>
      </c>
      <c r="L397" s="56">
        <f t="shared" si="26"/>
        <v>100000</v>
      </c>
      <c r="M397" s="8"/>
      <c r="N397" s="264"/>
    </row>
    <row r="398" spans="1:14" s="3" customFormat="1" ht="12.2" customHeight="1" x14ac:dyDescent="0.15">
      <c r="A398" s="79" t="s">
        <v>515</v>
      </c>
      <c r="B398" s="2" t="s">
        <v>381</v>
      </c>
      <c r="C398" s="6">
        <v>10</v>
      </c>
      <c r="D398" s="2" t="s">
        <v>432</v>
      </c>
      <c r="E398" s="6"/>
      <c r="F398" s="18"/>
      <c r="G398" s="18">
        <v>75000</v>
      </c>
      <c r="H398" s="18"/>
      <c r="I398" s="18"/>
      <c r="J398" s="24" t="s">
        <v>288</v>
      </c>
      <c r="K398" s="24" t="s">
        <v>288</v>
      </c>
      <c r="L398" s="56">
        <f t="shared" si="26"/>
        <v>75000</v>
      </c>
      <c r="M398" s="8"/>
      <c r="N398" s="264"/>
    </row>
    <row r="399" spans="1:14" s="3" customFormat="1" ht="12.2" customHeight="1" x14ac:dyDescent="0.15">
      <c r="A399" s="79" t="s">
        <v>558</v>
      </c>
      <c r="B399" s="2" t="s">
        <v>381</v>
      </c>
      <c r="C399" s="6">
        <v>11</v>
      </c>
      <c r="D399" s="2" t="s">
        <v>432</v>
      </c>
      <c r="E399" s="6"/>
      <c r="F399" s="18"/>
      <c r="G399" s="18" t="s">
        <v>286</v>
      </c>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5000</v>
      </c>
      <c r="H400" s="18"/>
      <c r="I400" s="18"/>
      <c r="J400" s="24" t="s">
        <v>288</v>
      </c>
      <c r="K400" s="24" t="s">
        <v>288</v>
      </c>
      <c r="L400" s="56">
        <f t="shared" si="26"/>
        <v>5000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180000</v>
      </c>
      <c r="H402" s="47">
        <f>SUM(H396:H401)</f>
        <v>0</v>
      </c>
      <c r="I402" s="47">
        <f>SUM(I396:I401)</f>
        <v>0</v>
      </c>
      <c r="J402" s="45" t="s">
        <v>288</v>
      </c>
      <c r="K402" s="45" t="s">
        <v>288</v>
      </c>
      <c r="L402" s="47">
        <f>SUM(L396:L401)</f>
        <v>180000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180000</v>
      </c>
      <c r="H409" s="47">
        <f>H394+H402+H408</f>
        <v>0</v>
      </c>
      <c r="I409" s="47">
        <f>I394+I402+I408</f>
        <v>0</v>
      </c>
      <c r="J409" s="24" t="s">
        <v>288</v>
      </c>
      <c r="K409" s="24" t="s">
        <v>288</v>
      </c>
      <c r="L409" s="47">
        <f>L394+L402+L408</f>
        <v>180000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v>129805.8</v>
      </c>
      <c r="L415" s="56">
        <f t="shared" si="27"/>
        <v>129805.8</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129805.8</v>
      </c>
      <c r="L420" s="47">
        <f t="shared" si="28"/>
        <v>129805.8</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129805.8</v>
      </c>
      <c r="L435" s="47">
        <f t="shared" si="32"/>
        <v>129805.8</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954312.82</v>
      </c>
      <c r="G442" s="18"/>
      <c r="H442" s="18"/>
      <c r="I442" s="56">
        <f t="shared" si="33"/>
        <v>954312.82</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954312.82</v>
      </c>
      <c r="G447" s="13">
        <f>SUM(G440:G446)</f>
        <v>0</v>
      </c>
      <c r="H447" s="13">
        <f>SUM(H440:H446)</f>
        <v>0</v>
      </c>
      <c r="I447" s="13">
        <f>SUM(I440:I446)</f>
        <v>954312.82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954312.82</v>
      </c>
      <c r="G460" s="18"/>
      <c r="H460" s="18"/>
      <c r="I460" s="56">
        <f t="shared" si="34"/>
        <v>954312.82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954312.82</v>
      </c>
      <c r="G461" s="83">
        <f>SUM(G455:G460)</f>
        <v>0</v>
      </c>
      <c r="H461" s="83">
        <f>SUM(H455:H460)</f>
        <v>0</v>
      </c>
      <c r="I461" s="83">
        <f>SUM(I455:I460)</f>
        <v>954312.82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954312.82</v>
      </c>
      <c r="G462" s="42">
        <f>G453+G461</f>
        <v>0</v>
      </c>
      <c r="H462" s="42">
        <f>H453+H461</f>
        <v>0</v>
      </c>
      <c r="I462" s="42">
        <f>I453+I461</f>
        <v>954312.82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f>764929.29</f>
        <v>764929.29</v>
      </c>
      <c r="G466" s="18">
        <v>33822.5</v>
      </c>
      <c r="H466" s="18">
        <f>202343.7</f>
        <v>202343.7</v>
      </c>
      <c r="I466" s="18"/>
      <c r="J466" s="18">
        <v>899708.33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27876600.260000002</v>
      </c>
      <c r="G469" s="18">
        <v>730024.24</v>
      </c>
      <c r="H469" s="18">
        <f>31876+1111942.09+40525+18642.47+106721.33</f>
        <v>1309706.8900000001</v>
      </c>
      <c r="I469" s="18"/>
      <c r="J469" s="18">
        <v>180000</v>
      </c>
      <c r="K469" s="24" t="s">
        <v>288</v>
      </c>
      <c r="L469" s="24" t="s">
        <v>288</v>
      </c>
      <c r="N469" s="263"/>
    </row>
    <row r="470" spans="1:14" s="52" customFormat="1" ht="12.2" customHeight="1" x14ac:dyDescent="0.2">
      <c r="A470" s="93" t="s">
        <v>611</v>
      </c>
      <c r="B470" s="75">
        <v>19</v>
      </c>
      <c r="C470" s="80">
        <v>3</v>
      </c>
      <c r="D470" s="2" t="s">
        <v>432</v>
      </c>
      <c r="E470" s="80"/>
      <c r="F470" s="18">
        <v>15680.65</v>
      </c>
      <c r="G470" s="18"/>
      <c r="H470" s="18">
        <v>132475.98000000001</v>
      </c>
      <c r="I470" s="18"/>
      <c r="J470" s="18">
        <v>9204.09</v>
      </c>
      <c r="K470" s="24" t="s">
        <v>288</v>
      </c>
      <c r="L470" s="24" t="s">
        <v>288</v>
      </c>
      <c r="N470" s="263"/>
    </row>
    <row r="471" spans="1:14" s="52" customFormat="1" ht="12.2" customHeight="1" x14ac:dyDescent="0.2">
      <c r="A471" s="92" t="s">
        <v>425</v>
      </c>
      <c r="B471" s="75">
        <v>19</v>
      </c>
      <c r="C471" s="80">
        <v>4</v>
      </c>
      <c r="D471" s="2" t="s">
        <v>432</v>
      </c>
      <c r="E471" s="80"/>
      <c r="F471" s="53">
        <f>SUM(F469:F470)</f>
        <v>27892280.91</v>
      </c>
      <c r="G471" s="53">
        <f>SUM(G469:G470)</f>
        <v>730024.24</v>
      </c>
      <c r="H471" s="53">
        <f>SUM(H469:H470)</f>
        <v>1442182.87</v>
      </c>
      <c r="I471" s="53">
        <f>SUM(I469:I470)</f>
        <v>0</v>
      </c>
      <c r="J471" s="53">
        <f>SUM(J469:J470)</f>
        <v>189204.09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28077893.75-1110000</f>
        <v>26967893.75</v>
      </c>
      <c r="G473" s="18">
        <v>708672</v>
      </c>
      <c r="H473" s="18">
        <f>31876.07+1111942.09+40509.2+48956.72+113975.06</f>
        <v>1347259.1400000001</v>
      </c>
      <c r="I473" s="18"/>
      <c r="J473" s="18">
        <v>129805.8</v>
      </c>
      <c r="K473" s="24" t="s">
        <v>288</v>
      </c>
      <c r="L473" s="24" t="s">
        <v>288</v>
      </c>
      <c r="N473" s="263"/>
    </row>
    <row r="474" spans="1:14" s="52" customFormat="1" ht="12.2" customHeight="1" x14ac:dyDescent="0.2">
      <c r="A474" s="93" t="s">
        <v>613</v>
      </c>
      <c r="B474" s="75">
        <v>19</v>
      </c>
      <c r="C474" s="80">
        <v>6</v>
      </c>
      <c r="D474" s="2" t="s">
        <v>432</v>
      </c>
      <c r="E474" s="80"/>
      <c r="F474" s="18"/>
      <c r="G474" s="18">
        <v>2080.4899999999998</v>
      </c>
      <c r="H474" s="18"/>
      <c r="I474" s="18"/>
      <c r="J474" s="18">
        <v>4793.8</v>
      </c>
      <c r="K474" s="24" t="s">
        <v>288</v>
      </c>
      <c r="L474" s="24" t="s">
        <v>288</v>
      </c>
      <c r="N474" s="263"/>
    </row>
    <row r="475" spans="1:14" s="52" customFormat="1" ht="12.2" customHeight="1" x14ac:dyDescent="0.2">
      <c r="A475" s="92" t="s">
        <v>426</v>
      </c>
      <c r="B475" s="75">
        <v>19</v>
      </c>
      <c r="C475" s="80">
        <v>7</v>
      </c>
      <c r="D475" s="2" t="s">
        <v>432</v>
      </c>
      <c r="E475" s="80"/>
      <c r="F475" s="53">
        <f>SUM(F473:F474)</f>
        <v>26967893.75</v>
      </c>
      <c r="G475" s="53">
        <f>SUM(G473:G474)</f>
        <v>710752.49</v>
      </c>
      <c r="H475" s="53">
        <f>SUM(H473:H474)</f>
        <v>1347259.1400000001</v>
      </c>
      <c r="I475" s="53">
        <f>SUM(I473:I474)</f>
        <v>0</v>
      </c>
      <c r="J475" s="53">
        <f>SUM(J473:J474)</f>
        <v>134599.6</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1689316.4499999993</v>
      </c>
      <c r="G477" s="53">
        <f>(G466+G471)- G475</f>
        <v>53094.25</v>
      </c>
      <c r="H477" s="53">
        <f>(H466+H471)- H475</f>
        <v>297267.42999999993</v>
      </c>
      <c r="I477" s="53">
        <f>(I466+I471)- I475</f>
        <v>0</v>
      </c>
      <c r="J477" s="53">
        <f>(J466+J471)- J475</f>
        <v>954312.82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1675</v>
      </c>
      <c r="B481" s="112"/>
      <c r="C481" s="112"/>
      <c r="D481" s="112"/>
      <c r="E481" s="112"/>
      <c r="F481" s="112"/>
      <c r="G481" s="112"/>
      <c r="H481" s="112"/>
      <c r="I481" s="112" t="s">
        <v>401</v>
      </c>
      <c r="J481" s="112"/>
      <c r="K481" s="95"/>
      <c r="L481" s="95"/>
      <c r="N481" s="263"/>
    </row>
    <row r="482" spans="1:14" s="52" customFormat="1" ht="12.2" customHeight="1" x14ac:dyDescent="0.2">
      <c r="A482" s="175" t="s">
        <v>1681</v>
      </c>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5" t="s">
        <v>1674</v>
      </c>
      <c r="B484" s="112"/>
      <c r="C484" s="112"/>
      <c r="D484" s="112"/>
      <c r="E484" s="112"/>
      <c r="F484" s="112"/>
      <c r="G484" s="112"/>
      <c r="H484" s="112"/>
      <c r="I484" s="112" t="s">
        <v>18</v>
      </c>
      <c r="J484" s="112"/>
      <c r="K484" s="95"/>
      <c r="L484" s="95"/>
      <c r="N484" s="263"/>
    </row>
    <row r="485" spans="1:14" s="52" customFormat="1" ht="12.2" customHeight="1" x14ac:dyDescent="0.2">
      <c r="A485" s="174" t="s">
        <v>1673</v>
      </c>
      <c r="B485" s="112"/>
      <c r="C485" s="112"/>
      <c r="D485" s="112"/>
      <c r="E485" s="112"/>
      <c r="F485" s="112"/>
      <c r="G485" s="112"/>
      <c r="H485" s="112"/>
      <c r="I485" s="112" t="s">
        <v>474</v>
      </c>
      <c r="J485" s="112"/>
      <c r="K485" s="95"/>
      <c r="L485" s="95"/>
      <c r="N485" s="263"/>
    </row>
    <row r="486" spans="1:14" s="52" customFormat="1" ht="12.2" customHeight="1" x14ac:dyDescent="0.2">
      <c r="A486" s="174" t="s">
        <v>1676</v>
      </c>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15</v>
      </c>
      <c r="G491" s="154">
        <v>25</v>
      </c>
      <c r="H491" s="154">
        <v>25</v>
      </c>
      <c r="I491" s="154">
        <v>25</v>
      </c>
      <c r="J491" s="154"/>
      <c r="K491" s="24" t="s">
        <v>288</v>
      </c>
      <c r="L491" s="24" t="s">
        <v>288</v>
      </c>
      <c r="N491" s="263"/>
    </row>
    <row r="492" spans="1:14" s="52" customFormat="1" ht="12.2" customHeight="1" x14ac:dyDescent="0.2">
      <c r="A492" s="22" t="s">
        <v>615</v>
      </c>
      <c r="B492" s="75">
        <v>20</v>
      </c>
      <c r="C492" s="115">
        <v>2</v>
      </c>
      <c r="D492" s="2" t="s">
        <v>432</v>
      </c>
      <c r="E492" s="115"/>
      <c r="F492" s="155" t="s">
        <v>1677</v>
      </c>
      <c r="G492" s="155" t="s">
        <v>1678</v>
      </c>
      <c r="H492" s="154">
        <f>1/7</f>
        <v>0.14285714285714285</v>
      </c>
      <c r="I492" s="154">
        <f>1/7/16</f>
        <v>8.9285714285714281E-3</v>
      </c>
      <c r="J492" s="154"/>
      <c r="K492" s="24" t="s">
        <v>288</v>
      </c>
      <c r="L492" s="24" t="s">
        <v>288</v>
      </c>
      <c r="N492" s="263"/>
    </row>
    <row r="493" spans="1:14" s="52" customFormat="1" ht="12.2" customHeight="1" x14ac:dyDescent="0.2">
      <c r="A493" s="22" t="s">
        <v>616</v>
      </c>
      <c r="B493" s="75">
        <v>20</v>
      </c>
      <c r="C493" s="115">
        <v>3</v>
      </c>
      <c r="D493" s="2" t="s">
        <v>432</v>
      </c>
      <c r="E493" s="115"/>
      <c r="F493" s="155" t="s">
        <v>1679</v>
      </c>
      <c r="G493" s="155" t="s">
        <v>1680</v>
      </c>
      <c r="H493" s="154">
        <f>7/15/40</f>
        <v>1.1666666666666667E-2</v>
      </c>
      <c r="I493" s="154">
        <f>1/15/41</f>
        <v>1.6260162601626016E-3</v>
      </c>
      <c r="J493" s="154"/>
      <c r="K493" s="24" t="s">
        <v>288</v>
      </c>
      <c r="L493" s="24" t="s">
        <v>288</v>
      </c>
      <c r="N493" s="263"/>
    </row>
    <row r="494" spans="1:14" s="52" customFormat="1" ht="12.2" customHeight="1" x14ac:dyDescent="0.2">
      <c r="A494" s="22" t="s">
        <v>617</v>
      </c>
      <c r="B494" s="75">
        <v>20</v>
      </c>
      <c r="C494" s="115">
        <v>4</v>
      </c>
      <c r="D494" s="2" t="s">
        <v>432</v>
      </c>
      <c r="E494" s="115"/>
      <c r="F494" s="18">
        <v>2012334</v>
      </c>
      <c r="G494" s="18">
        <v>445000</v>
      </c>
      <c r="H494" s="18">
        <v>10000000</v>
      </c>
      <c r="I494" s="18">
        <v>7358000</v>
      </c>
      <c r="J494" s="18"/>
      <c r="K494" s="24" t="s">
        <v>288</v>
      </c>
      <c r="L494" s="24" t="s">
        <v>288</v>
      </c>
      <c r="N494" s="263"/>
    </row>
    <row r="495" spans="1:14" s="52" customFormat="1" ht="12.2" customHeight="1" x14ac:dyDescent="0.2">
      <c r="A495" s="22" t="s">
        <v>618</v>
      </c>
      <c r="B495" s="75">
        <v>20</v>
      </c>
      <c r="C495" s="115">
        <v>5</v>
      </c>
      <c r="D495" s="2" t="s">
        <v>432</v>
      </c>
      <c r="E495" s="115"/>
      <c r="F495" s="18">
        <v>2.59</v>
      </c>
      <c r="G495" s="18">
        <v>3.01</v>
      </c>
      <c r="H495" s="18">
        <v>4.12</v>
      </c>
      <c r="I495" s="18">
        <v>4.26</v>
      </c>
      <c r="J495" s="18"/>
      <c r="K495" s="24" t="s">
        <v>288</v>
      </c>
      <c r="L495" s="24" t="s">
        <v>288</v>
      </c>
      <c r="N495" s="263"/>
    </row>
    <row r="496" spans="1:14" s="52" customFormat="1" ht="12.2" customHeight="1" x14ac:dyDescent="0.2">
      <c r="A496" s="22" t="s">
        <v>619</v>
      </c>
      <c r="B496" s="75">
        <v>20</v>
      </c>
      <c r="C496" s="115">
        <v>6</v>
      </c>
      <c r="D496" s="2" t="s">
        <v>432</v>
      </c>
      <c r="E496" s="115"/>
      <c r="F496" s="18">
        <v>1424036.17</v>
      </c>
      <c r="G496" s="18">
        <v>3483979.02</v>
      </c>
      <c r="H496" s="18">
        <v>8766103.4399999995</v>
      </c>
      <c r="I496" s="18">
        <v>6562285.5199999996</v>
      </c>
      <c r="J496" s="18"/>
      <c r="K496" s="53">
        <f>SUM(F496:J496)</f>
        <v>20236404.149999999</v>
      </c>
      <c r="L496" s="24" t="s">
        <v>288</v>
      </c>
      <c r="N496" s="263"/>
    </row>
    <row r="497" spans="1:14" s="52" customFormat="1" ht="12.2" customHeight="1" x14ac:dyDescent="0.2">
      <c r="A497" s="22" t="s">
        <v>620</v>
      </c>
      <c r="B497" s="75">
        <v>20</v>
      </c>
      <c r="C497" s="115">
        <v>7</v>
      </c>
      <c r="D497" s="2" t="s">
        <v>432</v>
      </c>
      <c r="E497" s="115"/>
      <c r="F497" s="18">
        <v>0</v>
      </c>
      <c r="G497" s="18">
        <v>0</v>
      </c>
      <c r="H497" s="18">
        <v>0</v>
      </c>
      <c r="I497" s="18">
        <v>0</v>
      </c>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131653.26</v>
      </c>
      <c r="G498" s="18">
        <v>133456.71</v>
      </c>
      <c r="H498" s="18">
        <v>286864.32</v>
      </c>
      <c r="I498" s="18">
        <v>203862.83</v>
      </c>
      <c r="J498" s="18"/>
      <c r="K498" s="53">
        <f t="shared" si="35"/>
        <v>755837.12</v>
      </c>
      <c r="L498" s="24" t="s">
        <v>288</v>
      </c>
      <c r="N498" s="263"/>
    </row>
    <row r="499" spans="1:14" s="52" customFormat="1" ht="12.2" customHeight="1" x14ac:dyDescent="0.2">
      <c r="A499" s="200" t="s">
        <v>622</v>
      </c>
      <c r="B499" s="201">
        <v>20</v>
      </c>
      <c r="C499" s="202">
        <v>9</v>
      </c>
      <c r="D499" s="203" t="s">
        <v>432</v>
      </c>
      <c r="E499" s="202"/>
      <c r="F499" s="204">
        <v>1292382.8799999999</v>
      </c>
      <c r="G499" s="204">
        <v>3350522.31</v>
      </c>
      <c r="H499" s="204">
        <v>8479239.1199999992</v>
      </c>
      <c r="I499" s="204">
        <v>6358422.6900000004</v>
      </c>
      <c r="J499" s="204"/>
      <c r="K499" s="205">
        <f t="shared" si="35"/>
        <v>19480567</v>
      </c>
      <c r="L499" s="206" t="s">
        <v>288</v>
      </c>
      <c r="N499" s="263"/>
    </row>
    <row r="500" spans="1:14" s="52" customFormat="1" ht="12.2" customHeight="1" thickBot="1" x14ac:dyDescent="0.25">
      <c r="A500" s="22" t="s">
        <v>623</v>
      </c>
      <c r="B500" s="75">
        <v>20</v>
      </c>
      <c r="C500" s="115">
        <v>10</v>
      </c>
      <c r="D500" s="2" t="s">
        <v>432</v>
      </c>
      <c r="E500" s="115"/>
      <c r="F500" s="18">
        <v>144156.65</v>
      </c>
      <c r="G500" s="18"/>
      <c r="H500" s="18"/>
      <c r="I500" s="18"/>
      <c r="J500" s="18"/>
      <c r="K500" s="53">
        <f t="shared" si="35"/>
        <v>144156.65</v>
      </c>
      <c r="L500" s="24" t="s">
        <v>288</v>
      </c>
      <c r="N500" s="263"/>
    </row>
    <row r="501" spans="1:14" s="52" customFormat="1" ht="12.2" customHeight="1" thickTop="1" x14ac:dyDescent="0.2">
      <c r="A501" s="139" t="s">
        <v>624</v>
      </c>
      <c r="B501" s="44">
        <v>20</v>
      </c>
      <c r="C501" s="195">
        <v>11</v>
      </c>
      <c r="D501" s="39" t="s">
        <v>432</v>
      </c>
      <c r="E501" s="195"/>
      <c r="F501" s="42">
        <f>SUM(F499:F500)</f>
        <v>1436539.5299999998</v>
      </c>
      <c r="G501" s="42">
        <f>SUM(G499:G500)</f>
        <v>3350522.31</v>
      </c>
      <c r="H501" s="42">
        <f>SUM(H499:H500)</f>
        <v>8479239.1199999992</v>
      </c>
      <c r="I501" s="42">
        <f>SUM(I499:I500)</f>
        <v>6358422.6900000004</v>
      </c>
      <c r="J501" s="42">
        <f>SUM(J499:J500)</f>
        <v>0</v>
      </c>
      <c r="K501" s="42">
        <f t="shared" si="35"/>
        <v>19624723.649999999</v>
      </c>
      <c r="L501" s="45" t="s">
        <v>288</v>
      </c>
      <c r="N501" s="263"/>
    </row>
    <row r="502" spans="1:14" s="52" customFormat="1" ht="12.2" customHeight="1" x14ac:dyDescent="0.2">
      <c r="A502" s="200" t="s">
        <v>651</v>
      </c>
      <c r="B502" s="201">
        <v>20</v>
      </c>
      <c r="C502" s="202">
        <v>12</v>
      </c>
      <c r="D502" s="203" t="s">
        <v>432</v>
      </c>
      <c r="E502" s="202"/>
      <c r="F502" s="204">
        <v>143612</v>
      </c>
      <c r="G502" s="204">
        <v>137493.56</v>
      </c>
      <c r="H502" s="204">
        <v>298795.15000000002</v>
      </c>
      <c r="I502" s="204">
        <v>212636.76</v>
      </c>
      <c r="J502" s="204"/>
      <c r="K502" s="205">
        <f t="shared" si="35"/>
        <v>792537.47</v>
      </c>
      <c r="L502" s="206" t="s">
        <v>288</v>
      </c>
      <c r="N502" s="263"/>
    </row>
    <row r="503" spans="1:14" s="52" customFormat="1" ht="12.2" customHeight="1" thickBot="1" x14ac:dyDescent="0.25">
      <c r="A503" s="22" t="s">
        <v>625</v>
      </c>
      <c r="B503" s="75">
        <v>20</v>
      </c>
      <c r="C503" s="115">
        <v>13</v>
      </c>
      <c r="D503" s="2" t="s">
        <v>432</v>
      </c>
      <c r="E503" s="115"/>
      <c r="F503" s="18">
        <v>32919</v>
      </c>
      <c r="G503" s="18">
        <v>98975.92</v>
      </c>
      <c r="H503" s="18">
        <v>343790.33</v>
      </c>
      <c r="I503" s="18">
        <v>266762.88</v>
      </c>
      <c r="J503" s="18"/>
      <c r="K503" s="53">
        <f t="shared" si="35"/>
        <v>742448.13</v>
      </c>
      <c r="L503" s="24" t="s">
        <v>288</v>
      </c>
      <c r="N503" s="263"/>
    </row>
    <row r="504" spans="1:14" s="52" customFormat="1" ht="12.2" customHeight="1" thickTop="1" x14ac:dyDescent="0.2">
      <c r="A504" s="139" t="s">
        <v>626</v>
      </c>
      <c r="B504" s="44">
        <v>20</v>
      </c>
      <c r="C504" s="195">
        <v>14</v>
      </c>
      <c r="D504" s="39" t="s">
        <v>432</v>
      </c>
      <c r="E504" s="195"/>
      <c r="F504" s="42">
        <f>SUM(F502:F503)</f>
        <v>176531</v>
      </c>
      <c r="G504" s="42">
        <f>SUM(G502:G503)</f>
        <v>236469.47999999998</v>
      </c>
      <c r="H504" s="42">
        <f>SUM(H502:H503)</f>
        <v>642585.48</v>
      </c>
      <c r="I504" s="42">
        <f>SUM(I502:I503)</f>
        <v>479399.64</v>
      </c>
      <c r="J504" s="42">
        <f>SUM(J502:J503)</f>
        <v>0</v>
      </c>
      <c r="K504" s="42">
        <f t="shared" si="35"/>
        <v>1534985.6</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711836.09+1004980.84+83074.23</f>
        <v>1799891.16</v>
      </c>
      <c r="G522" s="18">
        <f>827920.03+38707.37+126830.89+75459.2+126706.79+30182.66</f>
        <v>1225806.94</v>
      </c>
      <c r="H522" s="18">
        <f>334159.69</f>
        <v>334159.69</v>
      </c>
      <c r="I522" s="18">
        <f>560.4+335.99+23381.55</f>
        <v>24277.94</v>
      </c>
      <c r="J522" s="18">
        <f>17992.48</f>
        <v>17992.48</v>
      </c>
      <c r="K522" s="18"/>
      <c r="L522" s="88">
        <f>SUM(F522:K522)</f>
        <v>3402128.2099999995</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f>300336+117247.37+18343.24</f>
        <v>435926.61</v>
      </c>
      <c r="G524" s="18">
        <f>219370.73+10812.54+30227.64+11028.47+53459.81</f>
        <v>324899.19</v>
      </c>
      <c r="H524" s="18">
        <f>16923+273280.22+374465.53+141584.85</f>
        <v>806253.6</v>
      </c>
      <c r="I524" s="18">
        <f>412.65+11302.48</f>
        <v>11715.13</v>
      </c>
      <c r="J524" s="18">
        <f>878.99+6242.51</f>
        <v>7121.5</v>
      </c>
      <c r="K524" s="18"/>
      <c r="L524" s="88">
        <f>SUM(F524:K524)</f>
        <v>1585916.0299999998</v>
      </c>
      <c r="N524" s="263"/>
    </row>
    <row r="525" spans="1:14" s="52" customFormat="1" ht="12.2" customHeight="1" thickTop="1" x14ac:dyDescent="0.2">
      <c r="A525" s="139" t="s">
        <v>63</v>
      </c>
      <c r="B525" s="107">
        <v>21</v>
      </c>
      <c r="C525" s="195">
        <v>4</v>
      </c>
      <c r="D525" s="196" t="s">
        <v>432</v>
      </c>
      <c r="E525" s="195"/>
      <c r="F525" s="108">
        <f>SUM(F522:F524)</f>
        <v>2235817.77</v>
      </c>
      <c r="G525" s="108">
        <f t="shared" ref="G525:L525" si="36">SUM(G522:G524)</f>
        <v>1550706.13</v>
      </c>
      <c r="H525" s="108">
        <f t="shared" si="36"/>
        <v>1140413.29</v>
      </c>
      <c r="I525" s="108">
        <f t="shared" si="36"/>
        <v>35993.07</v>
      </c>
      <c r="J525" s="108">
        <f t="shared" si="36"/>
        <v>25113.98</v>
      </c>
      <c r="K525" s="108">
        <f t="shared" si="36"/>
        <v>0</v>
      </c>
      <c r="L525" s="89">
        <f t="shared" si="36"/>
        <v>4988044.2399999993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380882.68</f>
        <v>380882.68</v>
      </c>
      <c r="G527" s="18">
        <f>144558.01</f>
        <v>144558.01</v>
      </c>
      <c r="H527" s="18">
        <f>692619.73</f>
        <v>692619.73</v>
      </c>
      <c r="I527" s="18">
        <f>16958.08</f>
        <v>16958.080000000002</v>
      </c>
      <c r="J527" s="18">
        <f>1551.65</f>
        <v>1551.65</v>
      </c>
      <c r="K527" s="18"/>
      <c r="L527" s="88">
        <f>SUM(F527:K527)</f>
        <v>1236570.1499999999</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v>154880.67000000001</v>
      </c>
      <c r="G529" s="18">
        <f>61678.51</f>
        <v>61678.51</v>
      </c>
      <c r="H529" s="18">
        <f>380040.01</f>
        <v>380040.01</v>
      </c>
      <c r="I529" s="18">
        <f>4693.55</f>
        <v>4693.55</v>
      </c>
      <c r="J529" s="18">
        <f>799.34</f>
        <v>799.34</v>
      </c>
      <c r="K529" s="18"/>
      <c r="L529" s="88">
        <f>SUM(F529:K529)</f>
        <v>602092.08000000007</v>
      </c>
      <c r="M529" s="8"/>
      <c r="N529" s="264"/>
    </row>
    <row r="530" spans="1:14" s="3" customFormat="1" ht="12.2" customHeight="1" thickTop="1" x14ac:dyDescent="0.15">
      <c r="A530" s="139" t="s">
        <v>65</v>
      </c>
      <c r="B530" s="107">
        <v>21</v>
      </c>
      <c r="C530" s="107">
        <v>8</v>
      </c>
      <c r="D530" s="158" t="s">
        <v>432</v>
      </c>
      <c r="E530" s="107"/>
      <c r="F530" s="89">
        <f>SUM(F527:F529)</f>
        <v>535763.35</v>
      </c>
      <c r="G530" s="89">
        <f t="shared" ref="G530:L530" si="37">SUM(G527:G529)</f>
        <v>206236.52000000002</v>
      </c>
      <c r="H530" s="89">
        <f t="shared" si="37"/>
        <v>1072659.74</v>
      </c>
      <c r="I530" s="89">
        <f t="shared" si="37"/>
        <v>21651.63</v>
      </c>
      <c r="J530" s="89">
        <f t="shared" si="37"/>
        <v>2350.9900000000002</v>
      </c>
      <c r="K530" s="89">
        <f t="shared" si="37"/>
        <v>0</v>
      </c>
      <c r="L530" s="89">
        <f t="shared" si="37"/>
        <v>1838662.23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100402</v>
      </c>
      <c r="G532" s="18">
        <v>60242.25</v>
      </c>
      <c r="H532" s="18">
        <f>5708.95-427.81</f>
        <v>5281.1399999999994</v>
      </c>
      <c r="I532" s="18">
        <f>427.81</f>
        <v>427.81</v>
      </c>
      <c r="J532" s="18"/>
      <c r="K532" s="18"/>
      <c r="L532" s="88">
        <f>SUM(F532:K532)</f>
        <v>166353.20000000001</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51722</v>
      </c>
      <c r="G534" s="18">
        <v>31033.88</v>
      </c>
      <c r="H534" s="18">
        <f>2940.97-220.39</f>
        <v>2720.58</v>
      </c>
      <c r="I534" s="18">
        <f>220.39</f>
        <v>220.39</v>
      </c>
      <c r="J534" s="18"/>
      <c r="K534" s="18"/>
      <c r="L534" s="88">
        <f>SUM(F534:K534)</f>
        <v>85696.85</v>
      </c>
      <c r="M534" s="8"/>
      <c r="N534" s="264"/>
    </row>
    <row r="535" spans="1:14" s="3" customFormat="1" ht="12.2" customHeight="1" thickTop="1" x14ac:dyDescent="0.15">
      <c r="A535" s="139" t="s">
        <v>67</v>
      </c>
      <c r="B535" s="107">
        <v>21</v>
      </c>
      <c r="C535" s="107">
        <v>12</v>
      </c>
      <c r="D535" s="158" t="s">
        <v>432</v>
      </c>
      <c r="E535" s="107"/>
      <c r="F535" s="89">
        <f>SUM(F532:F534)</f>
        <v>152124</v>
      </c>
      <c r="G535" s="89">
        <f t="shared" ref="G535:L535" si="38">SUM(G532:G534)</f>
        <v>91276.13</v>
      </c>
      <c r="H535" s="89">
        <f t="shared" si="38"/>
        <v>8001.7199999999993</v>
      </c>
      <c r="I535" s="89">
        <f t="shared" si="38"/>
        <v>648.20000000000005</v>
      </c>
      <c r="J535" s="89">
        <f t="shared" si="38"/>
        <v>0</v>
      </c>
      <c r="K535" s="89">
        <f t="shared" si="38"/>
        <v>0</v>
      </c>
      <c r="L535" s="89">
        <f t="shared" si="38"/>
        <v>252050.05000000002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3036.36</v>
      </c>
      <c r="I537" s="18"/>
      <c r="J537" s="18"/>
      <c r="K537" s="18"/>
      <c r="L537" s="88">
        <f>SUM(F537:K537)</f>
        <v>3036.36</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v>1564.19</v>
      </c>
      <c r="I539" s="18"/>
      <c r="J539" s="18"/>
      <c r="K539" s="18"/>
      <c r="L539" s="88">
        <f>SUM(F539:K539)</f>
        <v>1564.19</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4600.55</v>
      </c>
      <c r="I540" s="89">
        <f t="shared" si="39"/>
        <v>0</v>
      </c>
      <c r="J540" s="89">
        <f t="shared" si="39"/>
        <v>0</v>
      </c>
      <c r="K540" s="89">
        <f t="shared" si="39"/>
        <v>0</v>
      </c>
      <c r="L540" s="89">
        <f t="shared" si="39"/>
        <v>4600.55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446944.36</f>
        <v>446944.36</v>
      </c>
      <c r="I542" s="18"/>
      <c r="J542" s="18"/>
      <c r="K542" s="18"/>
      <c r="L542" s="88">
        <f>SUM(F542:K542)</f>
        <v>446944.36</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f>230244.06</f>
        <v>230244.06</v>
      </c>
      <c r="I544" s="18"/>
      <c r="J544" s="18"/>
      <c r="K544" s="18"/>
      <c r="L544" s="88">
        <f>SUM(F544:K544)</f>
        <v>230244.06</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677188.41999999993</v>
      </c>
      <c r="I545" s="193">
        <f t="shared" si="40"/>
        <v>0</v>
      </c>
      <c r="J545" s="193">
        <f t="shared" si="40"/>
        <v>0</v>
      </c>
      <c r="K545" s="193">
        <f t="shared" si="40"/>
        <v>0</v>
      </c>
      <c r="L545" s="193">
        <f t="shared" si="40"/>
        <v>677188.41999999993</v>
      </c>
      <c r="M545" s="8"/>
      <c r="N545" s="264"/>
    </row>
    <row r="546" spans="1:14" s="3" customFormat="1" ht="12.2" customHeight="1" thickTop="1" x14ac:dyDescent="0.15">
      <c r="A546" s="98" t="s">
        <v>72</v>
      </c>
      <c r="B546" s="107">
        <v>21</v>
      </c>
      <c r="C546" s="107">
        <v>21</v>
      </c>
      <c r="D546" s="158" t="s">
        <v>432</v>
      </c>
      <c r="E546" s="107"/>
      <c r="F546" s="89">
        <f>F525+F530+F535+F540+F545</f>
        <v>2923705.12</v>
      </c>
      <c r="G546" s="89">
        <f t="shared" ref="G546:L546" si="41">G525+G530+G535+G540+G545</f>
        <v>1848218.7799999998</v>
      </c>
      <c r="H546" s="89">
        <f t="shared" si="41"/>
        <v>2902863.72</v>
      </c>
      <c r="I546" s="89">
        <f t="shared" si="41"/>
        <v>58292.899999999994</v>
      </c>
      <c r="J546" s="89">
        <f t="shared" si="41"/>
        <v>27464.97</v>
      </c>
      <c r="K546" s="89">
        <f t="shared" si="41"/>
        <v>0</v>
      </c>
      <c r="L546" s="89">
        <f t="shared" si="41"/>
        <v>7760545.4899999984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3402128.2099999995</v>
      </c>
      <c r="G550" s="87">
        <f>L527</f>
        <v>1236570.1499999999</v>
      </c>
      <c r="H550" s="87">
        <f>L532</f>
        <v>166353.20000000001</v>
      </c>
      <c r="I550" s="87">
        <f>L537</f>
        <v>3036.36</v>
      </c>
      <c r="J550" s="87">
        <f>L542</f>
        <v>446944.36</v>
      </c>
      <c r="K550" s="87">
        <f>SUM(F550:J550)</f>
        <v>5255032.28</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1585916.0299999998</v>
      </c>
      <c r="G552" s="87">
        <f>L529</f>
        <v>602092.08000000007</v>
      </c>
      <c r="H552" s="87">
        <f>L534</f>
        <v>85696.85</v>
      </c>
      <c r="I552" s="87">
        <f>L539</f>
        <v>1564.19</v>
      </c>
      <c r="J552" s="87">
        <f>L544</f>
        <v>230244.06</v>
      </c>
      <c r="K552" s="87">
        <f>SUM(F552:J552)</f>
        <v>2505513.21</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4988044.2399999993</v>
      </c>
      <c r="G553" s="89">
        <f t="shared" si="42"/>
        <v>1838662.23</v>
      </c>
      <c r="H553" s="89">
        <f t="shared" si="42"/>
        <v>252050.05000000002</v>
      </c>
      <c r="I553" s="89">
        <f t="shared" si="42"/>
        <v>4600.55</v>
      </c>
      <c r="J553" s="89">
        <f t="shared" si="42"/>
        <v>677188.41999999993</v>
      </c>
      <c r="K553" s="89">
        <f t="shared" si="42"/>
        <v>7760545.4900000002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f>16923</f>
        <v>16923</v>
      </c>
      <c r="I576" s="87">
        <f>SUM(F576:H576)</f>
        <v>16923</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f>273280.22</f>
        <v>273280.21999999997</v>
      </c>
      <c r="I577" s="87">
        <f t="shared" ref="I577:I588" si="47">SUM(F577:H577)</f>
        <v>273280.21999999997</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9501.94</v>
      </c>
      <c r="G579" s="18"/>
      <c r="H579" s="18"/>
      <c r="I579" s="87">
        <f t="shared" si="47"/>
        <v>9501.94</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274841.19</f>
        <v>274841.19</v>
      </c>
      <c r="G583" s="18"/>
      <c r="H583" s="18">
        <f>374465.53+141584.85</f>
        <v>516050.38</v>
      </c>
      <c r="I583" s="87">
        <f t="shared" si="47"/>
        <v>790891.57000000007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f>49816.56</f>
        <v>49816.56</v>
      </c>
      <c r="G584" s="18"/>
      <c r="H584" s="18"/>
      <c r="I584" s="87">
        <f t="shared" si="47"/>
        <v>49816.56</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f>452838.52</f>
        <v>452838.52</v>
      </c>
      <c r="I586" s="87">
        <f t="shared" si="47"/>
        <v>452838.52</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427678.44</f>
        <v>427678.44</v>
      </c>
      <c r="I592" s="18"/>
      <c r="J592" s="18">
        <f>220319.2</f>
        <v>220319.2</v>
      </c>
      <c r="K592" s="104">
        <f t="shared" ref="K592:K598" si="48">SUM(H592:J592)</f>
        <v>647997.64</v>
      </c>
      <c r="L592" s="24" t="s">
        <v>288</v>
      </c>
      <c r="M592" s="8"/>
      <c r="N592" s="264"/>
    </row>
    <row r="593" spans="1:14" s="3" customFormat="1" ht="12.2" customHeight="1" x14ac:dyDescent="0.15">
      <c r="A593" s="3" t="s">
        <v>638</v>
      </c>
      <c r="B593" s="75">
        <v>23</v>
      </c>
      <c r="C593" s="75">
        <v>2</v>
      </c>
      <c r="D593" s="2" t="s">
        <v>432</v>
      </c>
      <c r="E593" s="75"/>
      <c r="F593" s="102">
        <v>2722</v>
      </c>
      <c r="G593" s="103" t="s">
        <v>97</v>
      </c>
      <c r="H593" s="18">
        <f>446944.36</f>
        <v>446944.36</v>
      </c>
      <c r="I593" s="18"/>
      <c r="J593" s="18">
        <f>230244.06</f>
        <v>230244.06</v>
      </c>
      <c r="K593" s="104">
        <f t="shared" si="48"/>
        <v>677188.41999999993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f>97121.8</f>
        <v>97121.8</v>
      </c>
      <c r="K594" s="104">
        <f t="shared" si="48"/>
        <v>97121.8</v>
      </c>
      <c r="L594" s="24" t="s">
        <v>288</v>
      </c>
      <c r="M594" s="8"/>
      <c r="N594" s="264"/>
    </row>
    <row r="595" spans="1:14" s="3" customFormat="1" ht="12.2" customHeight="1" x14ac:dyDescent="0.15">
      <c r="A595" s="22" t="s">
        <v>640</v>
      </c>
      <c r="B595" s="75">
        <v>23</v>
      </c>
      <c r="C595" s="75">
        <v>4</v>
      </c>
      <c r="D595" s="2" t="s">
        <v>432</v>
      </c>
      <c r="E595" s="75"/>
      <c r="F595" s="102">
        <v>2724</v>
      </c>
      <c r="G595" s="103" t="s">
        <v>97</v>
      </c>
      <c r="H595" s="18">
        <f>4394.09</f>
        <v>4394.09</v>
      </c>
      <c r="I595" s="18"/>
      <c r="J595" s="18">
        <f>21690.13</f>
        <v>21690.13</v>
      </c>
      <c r="K595" s="104">
        <f t="shared" si="48"/>
        <v>26084.22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f>805.89+601.01+1520</f>
        <v>2926.9</v>
      </c>
      <c r="I596" s="18"/>
      <c r="J596" s="18">
        <f>391.5</f>
        <v>391.5</v>
      </c>
      <c r="K596" s="104">
        <f t="shared" si="48"/>
        <v>3318.4</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881943.79</v>
      </c>
      <c r="I599" s="108">
        <f>SUM(I592:I598)</f>
        <v>0</v>
      </c>
      <c r="J599" s="108">
        <f>SUM(J592:J598)</f>
        <v>569766.69000000006</v>
      </c>
      <c r="K599" s="108">
        <f>SUM(K592:K598)</f>
        <v>1451710.48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113245.74+479.94+3624.36+17967.72+30982.63+146958.54+20445.71+600+420.21</f>
        <v>334724.85000000009</v>
      </c>
      <c r="I605" s="18"/>
      <c r="J605" s="18">
        <f>58338.72+247.24+54042.9+75705.92+10532.64+133.71</f>
        <v>199001.12999999998</v>
      </c>
      <c r="K605" s="104">
        <f>SUM(H605:J605)</f>
        <v>533725.9800000001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334724.85000000009</v>
      </c>
      <c r="I606" s="108">
        <f>SUM(I603:I605)</f>
        <v>0</v>
      </c>
      <c r="J606" s="108">
        <f>SUM(J603:J605)</f>
        <v>199001.12999999998</v>
      </c>
      <c r="K606" s="108">
        <f>SUM(K603:K605)</f>
        <v>533725.9800000001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8890.87+3624.76</f>
        <v>12515.630000000001</v>
      </c>
      <c r="G612" s="18">
        <f>952.62+805.92+197.29</f>
        <v>1955.83</v>
      </c>
      <c r="H612" s="18">
        <f>12293.81+1248.84+9501.94</f>
        <v>23044.59</v>
      </c>
      <c r="I612" s="18"/>
      <c r="J612" s="18"/>
      <c r="K612" s="18"/>
      <c r="L612" s="88">
        <f>SUM(F612:K612)</f>
        <v>37516.050000000003</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12515.630000000001</v>
      </c>
      <c r="G615" s="108">
        <f t="shared" si="49"/>
        <v>1955.83</v>
      </c>
      <c r="H615" s="108">
        <f t="shared" si="49"/>
        <v>23044.59</v>
      </c>
      <c r="I615" s="108">
        <f t="shared" si="49"/>
        <v>0</v>
      </c>
      <c r="J615" s="108">
        <f t="shared" si="49"/>
        <v>0</v>
      </c>
      <c r="K615" s="108">
        <f t="shared" si="49"/>
        <v>0</v>
      </c>
      <c r="L615" s="89">
        <f t="shared" si="49"/>
        <v>37516.050000000003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1407684.88</v>
      </c>
      <c r="H618" s="109">
        <f>SUM(F52)</f>
        <v>1407684.8800000001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51043.51</v>
      </c>
      <c r="H619" s="109">
        <f>SUM(G52)</f>
        <v>51043.51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388059.34</v>
      </c>
      <c r="H620" s="109">
        <f>SUM(H52)</f>
        <v>388059.34000000008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954312.82</v>
      </c>
      <c r="H622" s="109">
        <f>SUM(J52)</f>
        <v>954312.82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1689316.4500000002</v>
      </c>
      <c r="H623" s="109">
        <f>F477</f>
        <v>1689316.4499999993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53094.25</v>
      </c>
      <c r="H624" s="109">
        <f>G477</f>
        <v>53094.25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297267.43000000005</v>
      </c>
      <c r="H625" s="109">
        <f>H477</f>
        <v>297267.42999999993</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954312.82</v>
      </c>
      <c r="H627" s="109">
        <f>J477</f>
        <v>954312.82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27876600.260000002</v>
      </c>
      <c r="H628" s="104">
        <f>SUM(F469)</f>
        <v>27876600.260000002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730024.24000000011</v>
      </c>
      <c r="H629" s="104">
        <f>SUM(G469)</f>
        <v>730024.24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1309706.8899999999</v>
      </c>
      <c r="H630" s="104">
        <f>SUM(H469)</f>
        <v>1309706.8900000001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180000</v>
      </c>
      <c r="H632" s="104">
        <f>SUM(J469)</f>
        <v>180000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26967893.75</v>
      </c>
      <c r="H633" s="104">
        <f>SUM(F473)</f>
        <v>26967893.75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1347259.14</v>
      </c>
      <c r="H634" s="104">
        <f>SUM(H473)</f>
        <v>1347259.1400000001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708672</v>
      </c>
      <c r="H636" s="104">
        <f>SUM(G473)</f>
        <v>708672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180000</v>
      </c>
      <c r="H638" s="164">
        <f>SUM(J469)</f>
        <v>180000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129805.8</v>
      </c>
      <c r="H639" s="164">
        <f>SUM(J473)</f>
        <v>129805.8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954312.82</v>
      </c>
      <c r="H640" s="104">
        <f>SUM(F462)</f>
        <v>954312.82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954312.82</v>
      </c>
      <c r="H643" s="104">
        <f>SUM(I462)</f>
        <v>954312.82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180000</v>
      </c>
      <c r="H646" s="104">
        <f>G409</f>
        <v>180000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180000</v>
      </c>
      <c r="H647" s="104">
        <f>L409</f>
        <v>180000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1451710.48</v>
      </c>
      <c r="H648" s="104">
        <f>L209+L227+L245</f>
        <v>1451710.48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533725.9800000001</v>
      </c>
      <c r="H649" s="104">
        <f>(J258+J339)-(J256+J337)</f>
        <v>533725.98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881943.79</v>
      </c>
      <c r="H650" s="104">
        <f>H599</f>
        <v>881943.79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569766.69000000006</v>
      </c>
      <c r="H652" s="104">
        <f>J599</f>
        <v>569766.69000000006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180000</v>
      </c>
      <c r="H656" s="104">
        <f>K267+K348</f>
        <v>180000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17724365.800000001</v>
      </c>
      <c r="G661" s="19">
        <f>(L230+L310+L360)</f>
        <v>0</v>
      </c>
      <c r="H661" s="19">
        <f>(L248+L329+L361)</f>
        <v>9447897.4900000002</v>
      </c>
      <c r="I661" s="19">
        <f>SUM(F661:H661)</f>
        <v>27172263.289999999</v>
      </c>
      <c r="J661" s="13"/>
      <c r="K661" s="13"/>
      <c r="L661" s="13"/>
      <c r="M661" s="9"/>
    </row>
    <row r="662" spans="1:13" s="3" customFormat="1" ht="12.2" customHeight="1" x14ac:dyDescent="0.2">
      <c r="A662" s="1" t="s">
        <v>127</v>
      </c>
      <c r="F662" s="19">
        <f>(L359/IF(SUM(L359:L361)=0,1,SUM(L359:L361))*(SUM(G97:G110)))</f>
        <v>8883.6</v>
      </c>
      <c r="G662" s="19">
        <f>(L360/IF(SUM(L359:L361)=0,1,SUM(L359:L361))*(SUM(G97:G110)))</f>
        <v>0</v>
      </c>
      <c r="H662" s="19">
        <f>(L361/IF(SUM(L359:L361)=0,1,SUM(L359:L361))*(SUM(G97:G110)))</f>
        <v>4576.4000000000005</v>
      </c>
      <c r="I662" s="19">
        <f>SUM(F662:H662)</f>
        <v>13460</v>
      </c>
      <c r="J662"/>
      <c r="K662" s="13"/>
      <c r="L662" s="13"/>
      <c r="M662" s="8"/>
    </row>
    <row r="663" spans="1:13" s="3" customFormat="1" ht="12.2" customHeight="1" x14ac:dyDescent="0.2">
      <c r="A663" s="1" t="s">
        <v>128</v>
      </c>
      <c r="F663" s="19">
        <f>(L209+L288)-(J209+J288)</f>
        <v>913361.58000000007</v>
      </c>
      <c r="G663" s="19">
        <f>(L227+L307)-(J227+J307)</f>
        <v>0</v>
      </c>
      <c r="H663" s="19">
        <f>(L245+L326)-(J245+J326)</f>
        <v>593862.01</v>
      </c>
      <c r="I663" s="19">
        <f>SUM(F663:H663)</f>
        <v>1507223.59</v>
      </c>
      <c r="J663"/>
      <c r="K663" s="13"/>
      <c r="L663" s="13"/>
      <c r="M663" s="9"/>
    </row>
    <row r="664" spans="1:13" s="3" customFormat="1" ht="12.2" customHeight="1" x14ac:dyDescent="0.15">
      <c r="A664" s="198" t="s">
        <v>129</v>
      </c>
      <c r="B664" s="169"/>
      <c r="C664" s="169"/>
      <c r="D664" s="169"/>
      <c r="E664" s="169"/>
      <c r="F664" s="199">
        <f>SUM(F576:F588)+SUM(H603:H605)+SUM(L612)</f>
        <v>706400.59000000008</v>
      </c>
      <c r="G664" s="199">
        <f>SUM(G576:G588)+SUM(I603:I605)+L613</f>
        <v>0</v>
      </c>
      <c r="H664" s="199">
        <f>SUM(H576:H588)+SUM(J603:J605)+L614</f>
        <v>1458093.25</v>
      </c>
      <c r="I664" s="19">
        <f>SUM(F664:H664)</f>
        <v>2164493.84</v>
      </c>
      <c r="J664" s="13"/>
      <c r="K664" s="13"/>
      <c r="L664" s="13"/>
      <c r="M664" s="9"/>
    </row>
    <row r="665" spans="1:13" s="3" customFormat="1" ht="12.2" customHeight="1" x14ac:dyDescent="0.15">
      <c r="A665" s="1" t="s">
        <v>130</v>
      </c>
      <c r="F665" s="19">
        <f>F661-SUM(F662:F664)</f>
        <v>16095720.030000001</v>
      </c>
      <c r="G665" s="19">
        <f>G661-SUM(G662:G664)</f>
        <v>0</v>
      </c>
      <c r="H665" s="19">
        <f>H661-SUM(H662:H664)</f>
        <v>7391365.8300000001</v>
      </c>
      <c r="I665" s="19">
        <f>I661-SUM(I662:I664)</f>
        <v>23487085.859999999</v>
      </c>
      <c r="J665" s="13"/>
      <c r="K665" s="13"/>
      <c r="L665" s="13"/>
      <c r="M665" s="8"/>
    </row>
    <row r="666" spans="1:13" s="3" customFormat="1" ht="12.2" customHeight="1" x14ac:dyDescent="0.25">
      <c r="A666" s="1" t="s">
        <v>131</v>
      </c>
      <c r="F666" s="360">
        <v>703.55</v>
      </c>
      <c r="G666" s="360">
        <v>0</v>
      </c>
      <c r="H666" s="360">
        <v>344.49</v>
      </c>
      <c r="I666" s="19">
        <f>SUM(F666:H666)</f>
        <v>1048.04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22877.86</v>
      </c>
      <c r="G668" s="19" t="e">
        <f>ROUND(G665/G666,2)</f>
        <v>#DIV/0!</v>
      </c>
      <c r="H668" s="19">
        <f>ROUND(H665/H666,2)</f>
        <v>21455.97</v>
      </c>
      <c r="I668" s="19">
        <f>ROUND(I665/I666,2)</f>
        <v>22410.49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-13.83</v>
      </c>
      <c r="I671" s="19">
        <f>SUM(F671:H671)</f>
        <v>-13.83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22877.86</v>
      </c>
      <c r="G673" s="19" t="e">
        <f>ROUND((G665+G670)/(G666+G671),2)</f>
        <v>#DIV/0!</v>
      </c>
      <c r="H673" s="19">
        <f>ROUND((H665+H670)/(H666+H671),2)</f>
        <v>22353.37</v>
      </c>
      <c r="I673" s="19">
        <f>ROUND((I665+I670)/(I666+I671),2)</f>
        <v>22710.17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B1" zoomScaleNormal="100" workbookViewId="0">
      <selection activeCell="E25" sqref="E25"/>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320942.21999999997</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59">
        <v>145112</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73444.71+262808.54-68488</f>
        <v>267765.25</v>
      </c>
      <c r="F22" s="346"/>
    </row>
    <row r="23" spans="2:8" x14ac:dyDescent="0.25">
      <c r="B23" s="346"/>
      <c r="C23" s="346"/>
      <c r="D23" s="346"/>
      <c r="E23" s="346"/>
      <c r="F23" s="346"/>
    </row>
    <row r="24" spans="2:8" ht="26.25" customHeight="1" x14ac:dyDescent="0.25">
      <c r="B24" s="346"/>
      <c r="C24" s="348" t="s">
        <v>1661</v>
      </c>
      <c r="D24" s="346"/>
      <c r="E24" s="341">
        <f>1239.3+1202.82+5111.97+5358.09+5611.64+1327.25+101.53+236.25+1799.54+29820+15861.32+5775-68488</f>
        <v>4956.7099999999919</v>
      </c>
      <c r="F24" s="346"/>
    </row>
    <row r="25" spans="2:8" ht="18" x14ac:dyDescent="0.25">
      <c r="B25" s="346"/>
      <c r="C25" s="349"/>
      <c r="D25" s="346"/>
      <c r="E25" s="346"/>
      <c r="F25" s="346"/>
    </row>
    <row r="26" spans="2:8" ht="27.75" customHeight="1" x14ac:dyDescent="0.25">
      <c r="B26" s="346"/>
      <c r="C26" s="348" t="s">
        <v>1662</v>
      </c>
      <c r="D26" s="346"/>
      <c r="E26" s="341">
        <f>3650.5+13852.1+7910.4+47602.71+3650+14000+1340.36+709.33+649.7+102205.05+1950+9170+5562+6336+413.54+464.58+633.34+990.01+5330.62+179.99+18173.14+4875+4681.96+5306.21+1500+1672</f>
        <v>262808.53999999998</v>
      </c>
      <c r="F26" s="346"/>
    </row>
    <row r="27" spans="2:8" x14ac:dyDescent="0.25">
      <c r="B27" s="346"/>
      <c r="C27" s="348"/>
      <c r="D27" s="346"/>
      <c r="E27" s="346"/>
      <c r="F27" s="346"/>
    </row>
    <row r="28" spans="2:8" ht="15.75" customHeight="1" x14ac:dyDescent="0.25">
      <c r="B28" s="346"/>
      <c r="C28" s="348" t="s">
        <v>1663</v>
      </c>
      <c r="D28" s="346"/>
      <c r="E28" s="342">
        <f>9295.32+48115.83+1531.5</f>
        <v>58942.65</v>
      </c>
      <c r="F28" s="346"/>
    </row>
    <row r="29" spans="2:8" x14ac:dyDescent="0.25">
      <c r="B29" s="346"/>
      <c r="C29" s="346"/>
      <c r="D29" s="346"/>
      <c r="E29" s="346"/>
      <c r="F29" s="346"/>
    </row>
    <row r="30" spans="2:8" ht="16.5" customHeight="1" x14ac:dyDescent="0.25">
      <c r="B30" s="346"/>
      <c r="C30" s="348" t="s">
        <v>1664</v>
      </c>
      <c r="D30" s="346"/>
      <c r="E30" s="341">
        <f>52126.94+31419.38+55800</f>
        <v>139346.32</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Mascoma Valley Regional School District</v>
      </c>
      <c r="C5" s="364"/>
      <c r="D5" s="364"/>
      <c r="E5" s="364"/>
      <c r="F5" s="364"/>
    </row>
    <row r="8" spans="1:9" ht="18" x14ac:dyDescent="0.25">
      <c r="A8" s="317" t="s">
        <v>1576</v>
      </c>
      <c r="F8" s="324" t="s">
        <v>1594</v>
      </c>
    </row>
    <row r="9" spans="1:9" ht="15" x14ac:dyDescent="0.2">
      <c r="A9" s="315" t="s">
        <v>1577</v>
      </c>
      <c r="B9" s="318">
        <f>'DOE25'!G97</f>
        <v>13460</v>
      </c>
      <c r="F9" s="315" t="s">
        <v>1590</v>
      </c>
    </row>
    <row r="10" spans="1:9" ht="15" x14ac:dyDescent="0.2">
      <c r="A10" s="315" t="s">
        <v>1578</v>
      </c>
      <c r="B10" s="318">
        <f>'DOE25'!G112-'DOE25'!G97</f>
        <v>0</v>
      </c>
      <c r="F10" s="315" t="s">
        <v>1591</v>
      </c>
    </row>
    <row r="11" spans="1:9" ht="15" x14ac:dyDescent="0.2">
      <c r="A11" s="315" t="s">
        <v>1579</v>
      </c>
      <c r="B11" s="318">
        <f>'DOE25'!G140</f>
        <v>8625.0499999999993</v>
      </c>
      <c r="F11" s="315" t="s">
        <v>1592</v>
      </c>
    </row>
    <row r="12" spans="1:9" ht="15" x14ac:dyDescent="0.2">
      <c r="A12" s="315" t="s">
        <v>1580</v>
      </c>
      <c r="B12" s="318">
        <f>'DOE25'!G170</f>
        <v>707939.19000000006</v>
      </c>
      <c r="F12" s="315" t="s">
        <v>1593</v>
      </c>
    </row>
    <row r="13" spans="1:9" ht="15" x14ac:dyDescent="0.2">
      <c r="A13" s="315" t="s">
        <v>1581</v>
      </c>
      <c r="B13" s="318">
        <f>'DOE25'!G193-'DOE25'!G180</f>
        <v>0</v>
      </c>
      <c r="F13" s="315" t="s">
        <v>1603</v>
      </c>
    </row>
    <row r="14" spans="1:9" ht="18" x14ac:dyDescent="0.25">
      <c r="A14" s="317" t="s">
        <v>732</v>
      </c>
      <c r="B14" s="319">
        <f>SUM(B9:B13)</f>
        <v>730024.24000000011</v>
      </c>
    </row>
    <row r="16" spans="1:9" ht="18" x14ac:dyDescent="0.25">
      <c r="A16" s="317" t="s">
        <v>786</v>
      </c>
      <c r="F16" s="324" t="s">
        <v>1595</v>
      </c>
    </row>
    <row r="17" spans="1:6" ht="15" x14ac:dyDescent="0.2">
      <c r="A17" s="315" t="s">
        <v>1582</v>
      </c>
      <c r="B17" s="318">
        <f>'DOE25'!L363-'DOE25'!L362</f>
        <v>708672</v>
      </c>
      <c r="F17" s="315" t="s">
        <v>1596</v>
      </c>
    </row>
    <row r="18" spans="1:6" ht="15" x14ac:dyDescent="0.2">
      <c r="A18" s="315" t="s">
        <v>1583</v>
      </c>
      <c r="B18" s="328"/>
      <c r="F18" s="324" t="s">
        <v>1620</v>
      </c>
    </row>
    <row r="19" spans="1:6" ht="18" x14ac:dyDescent="0.25">
      <c r="A19" s="317" t="s">
        <v>725</v>
      </c>
      <c r="B19" s="319">
        <f>SUM(B17:B18)</f>
        <v>708672</v>
      </c>
    </row>
    <row r="21" spans="1:6" ht="18.75" thickBot="1" x14ac:dyDescent="0.3">
      <c r="A21" s="317" t="s">
        <v>1584</v>
      </c>
    </row>
    <row r="22" spans="1:6" ht="18.75" thickTop="1" x14ac:dyDescent="0.25">
      <c r="A22" s="317" t="s">
        <v>1585</v>
      </c>
      <c r="B22" s="323">
        <f>B14-B19</f>
        <v>21352.240000000107</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33822.5</v>
      </c>
      <c r="F31" s="315" t="s">
        <v>1600</v>
      </c>
    </row>
    <row r="33" spans="1:6" ht="15" x14ac:dyDescent="0.2">
      <c r="A33" s="315" t="s">
        <v>1629</v>
      </c>
      <c r="B33" s="318">
        <f>'DOE25'!G477</f>
        <v>53094.25</v>
      </c>
      <c r="F33" s="315" t="s">
        <v>1601</v>
      </c>
    </row>
    <row r="36" spans="1:6" ht="15" x14ac:dyDescent="0.2">
      <c r="A36" s="315" t="s">
        <v>1587</v>
      </c>
      <c r="B36" s="329">
        <v>33316.19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Mascoma Valley Regional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5835937.2999999998</v>
      </c>
      <c r="C9" s="229">
        <f>'DOE25'!G198+'DOE25'!G216+'DOE25'!G234+'DOE25'!G277+'DOE25'!G296+'DOE25'!G315</f>
        <v>3277003.6499999994</v>
      </c>
    </row>
    <row r="10" spans="1:3" x14ac:dyDescent="0.2">
      <c r="A10" t="s">
        <v>775</v>
      </c>
      <c r="B10" s="240">
        <f>5319678.93+31876.07+28074.5+17988.3</f>
        <v>5397617.7999999998</v>
      </c>
      <c r="C10" s="240">
        <f>370554.31+322630.91+447321.5+3654.67+466470.02+57.67+17643.8+16729.29+27155.36+189.34+24827.42+82785.47+71475.05+121209.73+117202.17+958208.08+2289.67+3678.42</f>
        <v>3054082.88</v>
      </c>
    </row>
    <row r="11" spans="1:3" x14ac:dyDescent="0.2">
      <c r="A11" t="s">
        <v>776</v>
      </c>
      <c r="B11" s="240">
        <f>275992.04</f>
        <v>275992.03999999998</v>
      </c>
      <c r="C11" s="240">
        <f>19588.91+62208.5+964.26+2571.28+10471.5+5329.04+131.36+4635.84+10867.13</f>
        <v>116767.81999999999</v>
      </c>
    </row>
    <row r="12" spans="1:3" x14ac:dyDescent="0.2">
      <c r="A12" t="s">
        <v>777</v>
      </c>
      <c r="B12" s="240">
        <f>15582+12206.27+131769.19+2500+270</f>
        <v>162327.46</v>
      </c>
      <c r="C12" s="240">
        <f>85000+8917.28+1631.82+325.08+933.75+563.73+425.58+3284.12+279.24+1375.93+3416.42</f>
        <v>106152.95</v>
      </c>
    </row>
    <row r="13" spans="1:3" x14ac:dyDescent="0.2">
      <c r="A13" t="str">
        <f>IF(B9=B13,IF(C9=C13,"Check Total OK","Check Total Error"),"Check Total Error")</f>
        <v>Check Total OK</v>
      </c>
      <c r="B13" s="231">
        <f>SUM(B10:B12)</f>
        <v>5835937.2999999998</v>
      </c>
      <c r="C13" s="231">
        <f>SUM(C10:C12)</f>
        <v>3277003.65</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2923705.12</v>
      </c>
      <c r="C18" s="229">
        <f>'DOE25'!G199+'DOE25'!G217+'DOE25'!G235+'DOE25'!G278+'DOE25'!G297+'DOE25'!G316</f>
        <v>1848218.78</v>
      </c>
    </row>
    <row r="19" spans="1:3" x14ac:dyDescent="0.2">
      <c r="A19" t="s">
        <v>775</v>
      </c>
      <c r="B19" s="240">
        <f>195010+175137+341689.09+300336+9942.38+8890.87</f>
        <v>1031005.3400000001</v>
      </c>
      <c r="C19" s="240">
        <f>97605.64+84308.6+103716.95+133116.43+4669.72+4449.84+6262.16+6910.18+14236.41+12692.79+25597.62+21718.44+34711.8+31174.5+60820.49+53459.81+755.25+1769.74+952.62+197.29</f>
        <v>699126.27999999991</v>
      </c>
    </row>
    <row r="20" spans="1:3" x14ac:dyDescent="0.2">
      <c r="A20" t="s">
        <v>776</v>
      </c>
      <c r="B20" s="240">
        <f>195386.17+406820.78+402773.89+117247.37+25008.75+3624.76</f>
        <v>1150861.72</v>
      </c>
      <c r="C20" s="240">
        <f>83199.08+198413.65+260676.11+86254.3+4229.54+9196.04+9900.07+3902.36+14239.59+30117.65+29946.83+8509.2+9221.3+29964.99+36272.91+11028.47+20244.21+808.92+1855.23+2793.48+805.92</f>
        <v>851579.85</v>
      </c>
    </row>
    <row r="21" spans="1:3" x14ac:dyDescent="0.2">
      <c r="A21" t="s">
        <v>777</v>
      </c>
      <c r="B21" s="240">
        <f>98237+358183.35+11878.48+65331.52+53887+97348.03+53950.71+3021.97</f>
        <v>741838.05999999994</v>
      </c>
      <c r="C21" s="240">
        <f>46402+57992.88+9941.36+53686.6+2365.94+2776.18+441.32+2974.84+4132.2+26914.72+6799.2+904.87+4917.11+10992.15+23366.2+10426.89+1326.84+7297.63+6019.24+17130.12+473.18+231.18</f>
        <v>297512.65000000002</v>
      </c>
    </row>
    <row r="22" spans="1:3" x14ac:dyDescent="0.2">
      <c r="A22" t="str">
        <f>IF(B18=B22,IF(C18=C22,"Check Total OK","Check Total Error"),"Check Total Error")</f>
        <v>Check Total OK</v>
      </c>
      <c r="B22" s="231">
        <f>SUM(B19:B21)</f>
        <v>2923705.12</v>
      </c>
      <c r="C22" s="231">
        <f>SUM(C19:C21)</f>
        <v>1848218.7799999998</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150966.5</v>
      </c>
      <c r="C36" s="235">
        <f>'DOE25'!G201+'DOE25'!G219+'DOE25'!G237+'DOE25'!G280+'DOE25'!G299+'DOE25'!G318</f>
        <v>32093.8</v>
      </c>
    </row>
    <row r="37" spans="1:3" x14ac:dyDescent="0.2">
      <c r="A37" t="s">
        <v>775</v>
      </c>
      <c r="B37" s="240"/>
      <c r="C37" s="240"/>
    </row>
    <row r="38" spans="1:3" x14ac:dyDescent="0.2">
      <c r="A38" t="s">
        <v>776</v>
      </c>
      <c r="B38" s="240"/>
      <c r="C38" s="240"/>
    </row>
    <row r="39" spans="1:3" x14ac:dyDescent="0.2">
      <c r="A39" t="s">
        <v>777</v>
      </c>
      <c r="B39" s="240">
        <f>150966.5</f>
        <v>150966.5</v>
      </c>
      <c r="C39" s="240">
        <f>4518.8+1487.42+11480.53+353.41+14253.64</f>
        <v>32093.8</v>
      </c>
    </row>
    <row r="40" spans="1:3" x14ac:dyDescent="0.2">
      <c r="A40" t="str">
        <f>IF(B36=B40,IF(C36=C40,"Check Total OK","Check Total Error"),"Check Total Error")</f>
        <v>Check Total OK</v>
      </c>
      <c r="B40" s="231">
        <f>SUM(B37:B39)</f>
        <v>150966.5</v>
      </c>
      <c r="C40" s="231">
        <f>SUM(C37:C39)</f>
        <v>32093.8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Mascoma Valley Regional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16519796.41</v>
      </c>
      <c r="D5" s="20">
        <f>SUM('DOE25'!L198:L201)+SUM('DOE25'!L216:L219)+SUM('DOE25'!L234:L237)-F5-G5-H5</f>
        <v>16312472.030000001</v>
      </c>
      <c r="E5" s="243"/>
      <c r="F5" s="244"/>
      <c r="G5" s="53">
        <f>SUM('DOE25'!J198:J201)+SUM('DOE25'!J216:J219)+SUM('DOE25'!J234:J237)</f>
        <v>193954.78999999998</v>
      </c>
      <c r="H5" s="53">
        <f>SUM('DOE25'!K198:K201)+SUM('DOE25'!K216:K219)+SUM('DOE25'!K234:K237)</f>
        <v>13369.59</v>
      </c>
      <c r="I5" s="254"/>
    </row>
    <row r="6" spans="1:9" x14ac:dyDescent="0.2">
      <c r="A6" s="32">
        <v>2100</v>
      </c>
      <c r="B6" t="s">
        <v>796</v>
      </c>
      <c r="C6" s="273">
        <f t="shared" si="0"/>
        <v>1573214.1</v>
      </c>
      <c r="D6" s="20">
        <f>'DOE25'!L203+'DOE25'!L221+'DOE25'!L239-F6-G6-H6</f>
        <v>1566551.6500000001</v>
      </c>
      <c r="E6" s="243"/>
      <c r="F6" s="244"/>
      <c r="G6" s="53">
        <f>'DOE25'!J203+'DOE25'!J221+'DOE25'!J239</f>
        <v>1060.06</v>
      </c>
      <c r="H6" s="53">
        <f>'DOE25'!K203+'DOE25'!K221+'DOE25'!K239</f>
        <v>5602.3899999999994</v>
      </c>
      <c r="I6" s="254"/>
    </row>
    <row r="7" spans="1:9" x14ac:dyDescent="0.2">
      <c r="A7" s="32">
        <v>2200</v>
      </c>
      <c r="B7" t="s">
        <v>821</v>
      </c>
      <c r="C7" s="273">
        <f t="shared" si="0"/>
        <v>515364.72</v>
      </c>
      <c r="D7" s="20">
        <f>'DOE25'!L204+'DOE25'!L222+'DOE25'!L240-F7-G7-H7</f>
        <v>513270.24</v>
      </c>
      <c r="E7" s="243"/>
      <c r="F7" s="244"/>
      <c r="G7" s="53">
        <f>'DOE25'!J204+'DOE25'!J222+'DOE25'!J240</f>
        <v>2094.48</v>
      </c>
      <c r="H7" s="53">
        <f>'DOE25'!K204+'DOE25'!K222+'DOE25'!K240</f>
        <v>0</v>
      </c>
      <c r="I7" s="254"/>
    </row>
    <row r="8" spans="1:9" x14ac:dyDescent="0.2">
      <c r="A8" s="32">
        <v>2300</v>
      </c>
      <c r="B8" t="s">
        <v>797</v>
      </c>
      <c r="C8" s="273">
        <f t="shared" si="0"/>
        <v>1645683.7199999997</v>
      </c>
      <c r="D8" s="243"/>
      <c r="E8" s="20">
        <f>'DOE25'!L205+'DOE25'!L223+'DOE25'!L241-F8-G8-H8-D9-D11</f>
        <v>1632792.6699999997</v>
      </c>
      <c r="F8" s="244"/>
      <c r="G8" s="53">
        <f>'DOE25'!J205+'DOE25'!J223+'DOE25'!J241</f>
        <v>7771.44</v>
      </c>
      <c r="H8" s="53">
        <f>'DOE25'!K205+'DOE25'!K223+'DOE25'!K241</f>
        <v>5119.6100000000006</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1482516.42</v>
      </c>
      <c r="D12" s="20">
        <f>'DOE25'!L206+'DOE25'!L224+'DOE25'!L242-F12-G12-H12</f>
        <v>1475085.69</v>
      </c>
      <c r="E12" s="243"/>
      <c r="F12" s="244"/>
      <c r="G12" s="53">
        <f>'DOE25'!J206+'DOE25'!J224+'DOE25'!J242</f>
        <v>1970.84</v>
      </c>
      <c r="H12" s="53">
        <f>'DOE25'!K206+'DOE25'!K224+'DOE25'!K242</f>
        <v>5459.8899999999994</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1901353</v>
      </c>
      <c r="D14" s="20">
        <f>'DOE25'!L208+'DOE25'!L226+'DOE25'!L244-F14-G14-H14</f>
        <v>1855281.16</v>
      </c>
      <c r="E14" s="243"/>
      <c r="F14" s="244"/>
      <c r="G14" s="53">
        <f>'DOE25'!J208+'DOE25'!J226+'DOE25'!J244</f>
        <v>46071.839999999997</v>
      </c>
      <c r="H14" s="53">
        <f>'DOE25'!K208+'DOE25'!K226+'DOE25'!K244</f>
        <v>0</v>
      </c>
      <c r="I14" s="254"/>
    </row>
    <row r="15" spans="1:9" x14ac:dyDescent="0.2">
      <c r="A15" s="32">
        <v>2700</v>
      </c>
      <c r="B15" t="s">
        <v>799</v>
      </c>
      <c r="C15" s="273">
        <f t="shared" si="0"/>
        <v>1451710.48</v>
      </c>
      <c r="D15" s="20">
        <f>'DOE25'!L209+'DOE25'!L227+'DOE25'!L245-F15-G15-H15</f>
        <v>1451710.48</v>
      </c>
      <c r="E15" s="243"/>
      <c r="F15" s="244"/>
      <c r="G15" s="53">
        <f>'DOE25'!J209+'DOE25'!J227+'DOE25'!J245</f>
        <v>0</v>
      </c>
      <c r="H15" s="53">
        <f>'DOE25'!K209+'DOE25'!K227+'DOE25'!K245</f>
        <v>0</v>
      </c>
      <c r="I15" s="254"/>
    </row>
    <row r="16" spans="1:9" x14ac:dyDescent="0.2">
      <c r="A16" s="32">
        <v>2800</v>
      </c>
      <c r="B16" t="s">
        <v>800</v>
      </c>
      <c r="C16" s="273">
        <f t="shared" si="0"/>
        <v>26693.300000000003</v>
      </c>
      <c r="D16" s="243"/>
      <c r="E16" s="20">
        <f>'DOE25'!L210+'DOE25'!L228+'DOE25'!L246-F16-G16-H16</f>
        <v>687.5</v>
      </c>
      <c r="F16" s="244"/>
      <c r="G16" s="53">
        <f>'DOE25'!J210+'DOE25'!J228+'DOE25'!J246</f>
        <v>26005.800000000003</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103800</v>
      </c>
      <c r="D22" s="243"/>
      <c r="E22" s="243"/>
      <c r="F22" s="243"/>
      <c r="G22" s="53">
        <f>'DOE25'!L256+'DOE25'!L337</f>
        <v>103800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1526511.6</v>
      </c>
      <c r="D25" s="243"/>
      <c r="E25" s="243"/>
      <c r="F25" s="253"/>
      <c r="G25" s="251"/>
      <c r="H25" s="251"/>
      <c r="I25" s="252">
        <f>'DOE25'!L261+'DOE25'!L262+'DOE25'!L342+'DOE25'!L343</f>
        <v>1526511.6</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708672</v>
      </c>
      <c r="D29" s="281">
        <f>'DOE25'!L359+'DOE25'!L360+'DOE25'!L361-'DOE25'!I368-F29-G29-H29</f>
        <v>708672</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1347259.14</v>
      </c>
      <c r="D31" s="20">
        <f>'DOE25'!L291+'DOE25'!L310+'DOE25'!L329+'DOE25'!L334+'DOE25'!L335+'DOE25'!L336-F31-G31-H31</f>
        <v>1086431.8499999999</v>
      </c>
      <c r="E31" s="243"/>
      <c r="F31" s="244"/>
      <c r="G31" s="53">
        <f>'DOE25'!J291+'DOE25'!J310+'DOE25'!J329+'DOE25'!J334+'DOE25'!J335+'DOE25'!J336</f>
        <v>254796.73</v>
      </c>
      <c r="H31" s="53">
        <f>'DOE25'!K291+'DOE25'!K310+'DOE25'!K329+'DOE25'!K334+'DOE25'!K335+'DOE25'!K336</f>
        <v>6030.5599999999995</v>
      </c>
      <c r="I31" s="254"/>
    </row>
    <row r="32" spans="1:9" ht="12" thickBot="1" x14ac:dyDescent="0.25">
      <c r="C32" s="274"/>
      <c r="G32" s="249"/>
      <c r="H32" s="249"/>
      <c r="I32" s="256"/>
    </row>
    <row r="33" spans="1:9" ht="12" thickTop="1" x14ac:dyDescent="0.2">
      <c r="B33" t="s">
        <v>809</v>
      </c>
      <c r="D33" s="245">
        <f t="shared" ref="D33:I33" si="1">SUM(D5:D31)</f>
        <v>24969475.100000001</v>
      </c>
      <c r="E33" s="245">
        <f t="shared" si="1"/>
        <v>1633480.1699999997</v>
      </c>
      <c r="F33" s="245">
        <f t="shared" si="1"/>
        <v>0</v>
      </c>
      <c r="G33" s="245">
        <f t="shared" si="1"/>
        <v>637525.98</v>
      </c>
      <c r="H33" s="245">
        <f t="shared" si="1"/>
        <v>35582.04</v>
      </c>
      <c r="I33" s="245">
        <f t="shared" si="1"/>
        <v>1526511.6</v>
      </c>
    </row>
    <row r="35" spans="1:9" ht="12" thickBot="1" x14ac:dyDescent="0.25">
      <c r="B35" s="249" t="s">
        <v>831</v>
      </c>
      <c r="D35" s="250">
        <f>E33</f>
        <v>1633480.1699999997</v>
      </c>
      <c r="E35" s="246"/>
      <c r="F35" s="333" t="s">
        <v>1632</v>
      </c>
      <c r="G35" s="334"/>
      <c r="H35" s="334"/>
      <c r="I35" s="334"/>
    </row>
    <row r="36" spans="1:9" ht="12" thickTop="1" x14ac:dyDescent="0.2">
      <c r="B36" t="s">
        <v>810</v>
      </c>
      <c r="D36" s="20">
        <f>D33</f>
        <v>24969475.100000001</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Mascoma Valley Regional School District</v>
      </c>
      <c r="B2" s="126">
        <f>'DOE25'!B2</f>
        <v>343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17256642.280000001</v>
      </c>
      <c r="G4" s="300">
        <f>'DOE25'!L212+'DOE25'!L291</f>
        <v>17256642.280000001</v>
      </c>
      <c r="H4" s="353">
        <f>F4-G4</f>
        <v>0</v>
      </c>
      <c r="I4" s="372" t="str">
        <f>IF(H4=0,"","ISSUES!! Please review page 7 and 11 totals in comparison with total on this page")</f>
        <v/>
      </c>
      <c r="N4"/>
    </row>
    <row r="5" spans="1:18" x14ac:dyDescent="0.2">
      <c r="A5" s="21" t="s">
        <v>1241</v>
      </c>
      <c r="B5" s="301">
        <f>IFERROR(VLOOKUP(A5,'School Tables'!$C$3:$D$365,2,FALSE),"")</f>
        <v>21315</v>
      </c>
      <c r="C5" s="294" t="str">
        <f>IFERROR(INDEX('School Tables'!$B$3:$B$365,MATCH('School Level Expenditures'!B5,'School Tables'!$D$3:$D$365,0)),"")</f>
        <v>Mascoma Valley Regional</v>
      </c>
      <c r="D5" s="291">
        <f>3519584.53+1171248.3+6006.24</f>
        <v>4696839.07</v>
      </c>
      <c r="E5" s="291">
        <f>1202.85+368937.51</f>
        <v>370140.36</v>
      </c>
      <c r="F5" s="304">
        <f>D5+E5</f>
        <v>5066979.4300000006</v>
      </c>
      <c r="G5" s="294"/>
      <c r="H5" s="294"/>
      <c r="I5" s="373"/>
      <c r="N5"/>
    </row>
    <row r="6" spans="1:18" x14ac:dyDescent="0.2">
      <c r="A6" s="21" t="s">
        <v>1242</v>
      </c>
      <c r="B6" s="301">
        <f>IFERROR(VLOOKUP(A6,'School Tables'!$C$3:$D$365,2,FALSE),"")</f>
        <v>21325</v>
      </c>
      <c r="C6" s="294" t="str">
        <f>IFERROR(INDEX('School Tables'!$B$3:$B$365,MATCH('School Level Expenditures'!B6,'School Tables'!$D$3:$D$365,0)),"")</f>
        <v>Mascoma Valley Regional</v>
      </c>
      <c r="D6" s="291">
        <f>3510960.38+1087587.7+7429.21</f>
        <v>4605977.29</v>
      </c>
      <c r="E6" s="291">
        <f>5111.97+231284.93</f>
        <v>236396.9</v>
      </c>
      <c r="F6" s="304">
        <f t="shared" ref="F6:F20" si="0">D6+E6</f>
        <v>4842374.1900000004</v>
      </c>
      <c r="G6" s="294"/>
      <c r="H6" s="294"/>
      <c r="I6" s="373"/>
      <c r="N6"/>
    </row>
    <row r="7" spans="1:18" x14ac:dyDescent="0.2">
      <c r="A7" s="21" t="s">
        <v>1243</v>
      </c>
      <c r="B7" s="301">
        <f>IFERROR(VLOOKUP(A7,'School Tables'!$C$3:$D$365,2,FALSE),"")</f>
        <v>26405</v>
      </c>
      <c r="C7" s="294" t="str">
        <f>IFERROR(INDEX('School Tables'!$B$3:$B$365,MATCH('School Level Expenditures'!B7,'School Tables'!$D$3:$D$365,0)),"")</f>
        <v>Mascoma Valley Regional</v>
      </c>
      <c r="D7" s="291">
        <f>5198035.04+1924193.63+1913.13</f>
        <v>7124141.7999999998</v>
      </c>
      <c r="E7" s="291">
        <f>5358.09+217788.77</f>
        <v>223146.86</v>
      </c>
      <c r="F7" s="304">
        <f t="shared" si="0"/>
        <v>7347288.6600000001</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16426958.16</v>
      </c>
      <c r="E21" s="351">
        <f>SUM(E5:E20)</f>
        <v>829684.12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2"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9206949.0100000016</v>
      </c>
      <c r="G36" s="300">
        <f>'DOE25'!L248+'DOE25'!L329</f>
        <v>9206949.0099999998</v>
      </c>
      <c r="H36" s="353">
        <f>F36-G36</f>
        <v>0</v>
      </c>
      <c r="I36" s="372" t="str">
        <f>IF(H36=0,"","ISSUES!! Please review page 9 and 13 totals in comparison with total on this page")</f>
        <v/>
      </c>
      <c r="N36"/>
    </row>
    <row r="37" spans="1:14" x14ac:dyDescent="0.2">
      <c r="A37" s="21" t="s">
        <v>1240</v>
      </c>
      <c r="B37" s="301">
        <f>IFERROR(VLOOKUP(A37,'School Tables'!$O$3:$P$118,2,FALSE),"")</f>
        <v>21305</v>
      </c>
      <c r="C37" s="294" t="str">
        <f t="array" ref="C37">IFERROR(INDEX('School Tables'!$N$3:$N$118,MATCH('School Level Expenditures'!B37,'School Tables'!$P$3:$P$118,0)),"")</f>
        <v>Mascoma Valley Regional</v>
      </c>
      <c r="D37" s="291">
        <f>8769572.82+56491.71+98626.48</f>
        <v>8924691.0100000016</v>
      </c>
      <c r="E37" s="291">
        <f>9076.21+273181.79</f>
        <v>282258</v>
      </c>
      <c r="F37" s="304">
        <f t="shared" ref="F37:F42" si="2">D37+E37</f>
        <v>9206949.0100000016</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8924691.0100000016</v>
      </c>
      <c r="E43" s="352">
        <f>SUM(E37:E42)</f>
        <v>282258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Mascoma Valley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1753618.17</v>
      </c>
      <c r="D8" s="95">
        <f>'DOE25'!G9</f>
        <v>0</v>
      </c>
      <c r="E8" s="95">
        <f>'DOE25'!H9</f>
        <v>125222.25</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-421501.13</v>
      </c>
      <c r="D11" s="95">
        <f>'DOE25'!G12</f>
        <v>0</v>
      </c>
      <c r="E11" s="95">
        <f>'DOE25'!H12</f>
        <v>0</v>
      </c>
      <c r="F11" s="95">
        <f>'DOE25'!I12</f>
        <v>0</v>
      </c>
      <c r="G11" s="95">
        <f>'DOE25'!J12</f>
        <v>954312.82</v>
      </c>
      <c r="H11" s="124"/>
      <c r="I11" s="124"/>
    </row>
    <row r="12" spans="1:9" x14ac:dyDescent="0.2">
      <c r="A12" s="1" t="s">
        <v>143</v>
      </c>
      <c r="B12" s="6">
        <v>140</v>
      </c>
      <c r="C12" s="95">
        <f>'DOE25'!F13</f>
        <v>65387.93</v>
      </c>
      <c r="D12" s="95">
        <f>'DOE25'!G13</f>
        <v>393.75</v>
      </c>
      <c r="E12" s="95">
        <f>'DOE25'!H13</f>
        <v>262837.09000000003</v>
      </c>
      <c r="F12" s="95">
        <f>'DOE25'!I13</f>
        <v>0</v>
      </c>
      <c r="G12" s="95">
        <f>'DOE25'!J13</f>
        <v>0</v>
      </c>
      <c r="H12" s="124"/>
      <c r="I12" s="124"/>
    </row>
    <row r="13" spans="1:9" x14ac:dyDescent="0.2">
      <c r="A13" s="1" t="s">
        <v>144</v>
      </c>
      <c r="B13" s="6">
        <v>150</v>
      </c>
      <c r="C13" s="95">
        <f>'DOE25'!F14</f>
        <v>10179.91</v>
      </c>
      <c r="D13" s="95">
        <f>'DOE25'!G14</f>
        <v>50649.760000000002</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1407684.88</v>
      </c>
      <c r="D18" s="41">
        <f>SUM(D8:D17)</f>
        <v>51043.51</v>
      </c>
      <c r="E18" s="41">
        <f>SUM(E8:E17)</f>
        <v>388059.34</v>
      </c>
      <c r="F18" s="41">
        <f>SUM(F8:F17)</f>
        <v>0</v>
      </c>
      <c r="G18" s="41">
        <f>SUM(G8:G17)</f>
        <v>954312.82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-494047.11</v>
      </c>
      <c r="D21" s="95">
        <f>'DOE25'!G22</f>
        <v>-18245.93</v>
      </c>
      <c r="E21" s="95">
        <f>'DOE25'!H22</f>
        <v>90791.910000000018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153871.47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58451.12</v>
      </c>
      <c r="D27" s="95">
        <f>'DOE25'!G28</f>
        <v>0</v>
      </c>
      <c r="E27" s="95">
        <f>'DOE25'!H28</f>
        <v>0</v>
      </c>
      <c r="F27" s="95">
        <f>'DOE25'!I28</f>
        <v>0</v>
      </c>
      <c r="G27" s="24" t="s">
        <v>288</v>
      </c>
      <c r="H27" s="124"/>
      <c r="I27" s="124"/>
    </row>
    <row r="28" spans="1:9" x14ac:dyDescent="0.2">
      <c r="A28" s="1" t="s">
        <v>157</v>
      </c>
      <c r="B28" s="6">
        <v>470</v>
      </c>
      <c r="C28" s="95">
        <f>'DOE25'!F29</f>
        <v>92.95</v>
      </c>
      <c r="D28" s="95">
        <f>'DOE25'!G29</f>
        <v>0</v>
      </c>
      <c r="E28" s="95">
        <f>'DOE25'!H29</f>
        <v>0</v>
      </c>
      <c r="F28" s="95">
        <f>'DOE25'!I29</f>
        <v>0</v>
      </c>
      <c r="G28" s="24" t="s">
        <v>288</v>
      </c>
      <c r="H28" s="124"/>
      <c r="I28" s="124"/>
    </row>
    <row r="29" spans="1:9" x14ac:dyDescent="0.2">
      <c r="A29" s="1" t="s">
        <v>158</v>
      </c>
      <c r="B29" s="6">
        <v>480</v>
      </c>
      <c r="C29" s="95">
        <f>'DOE25'!F30</f>
        <v>0</v>
      </c>
      <c r="D29" s="95">
        <f>'DOE25'!G30</f>
        <v>16195.19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-281631.57</v>
      </c>
      <c r="D31" s="41">
        <f>SUM(D21:D30)</f>
        <v>-2050.7399999999998</v>
      </c>
      <c r="E31" s="41">
        <f>SUM(E21:E30)</f>
        <v>90791.910000000018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53094.25</v>
      </c>
      <c r="E47" s="95">
        <f>'DOE25'!H48</f>
        <v>297267.43000000005</v>
      </c>
      <c r="F47" s="95">
        <f>'DOE25'!I48</f>
        <v>0</v>
      </c>
      <c r="G47" s="95">
        <f>'DOE25'!J48</f>
        <v>954312.82</v>
      </c>
      <c r="H47" s="124"/>
      <c r="I47" s="124"/>
    </row>
    <row r="48" spans="1:9" x14ac:dyDescent="0.2">
      <c r="A48" s="1" t="s">
        <v>882</v>
      </c>
      <c r="B48" s="6">
        <v>753</v>
      </c>
      <c r="C48" s="95">
        <f>'DOE25'!F49</f>
        <v>77040.41</v>
      </c>
      <c r="D48" s="95">
        <f>'DOE25'!G49</f>
        <v>0</v>
      </c>
      <c r="E48" s="95">
        <f>'DOE25'!H49</f>
        <v>0</v>
      </c>
      <c r="F48" s="95">
        <f>'DOE25'!I49</f>
        <v>0</v>
      </c>
      <c r="G48" s="95">
        <f>'DOE25'!J49</f>
        <v>0</v>
      </c>
      <c r="H48" s="124"/>
      <c r="I48" s="124"/>
    </row>
    <row r="49" spans="1:9" ht="12" thickBot="1" x14ac:dyDescent="0.25">
      <c r="A49" s="29" t="s">
        <v>883</v>
      </c>
      <c r="B49" s="71">
        <v>770</v>
      </c>
      <c r="C49" s="95">
        <f>'DOE25'!F50</f>
        <v>1207276.04</v>
      </c>
      <c r="D49" s="24" t="s">
        <v>288</v>
      </c>
      <c r="E49" s="24" t="s">
        <v>288</v>
      </c>
      <c r="F49" s="24" t="s">
        <v>288</v>
      </c>
      <c r="G49" s="24" t="s">
        <v>288</v>
      </c>
      <c r="H49" s="124"/>
      <c r="I49" s="124"/>
    </row>
    <row r="50" spans="1:9" ht="12.75" thickTop="1" thickBot="1" x14ac:dyDescent="0.25">
      <c r="A50" s="38" t="s">
        <v>884</v>
      </c>
      <c r="B50" s="48"/>
      <c r="C50" s="41">
        <f>SUM(C34:C49)</f>
        <v>1689316.4500000002</v>
      </c>
      <c r="D50" s="41">
        <f>SUM(D34:D49)</f>
        <v>53094.25</v>
      </c>
      <c r="E50" s="41">
        <f>SUM(E34:E49)</f>
        <v>297267.43000000005</v>
      </c>
      <c r="F50" s="41">
        <f>SUM(F34:F49)</f>
        <v>0</v>
      </c>
      <c r="G50" s="41">
        <f>SUM(G34:G49)</f>
        <v>954312.82</v>
      </c>
      <c r="H50" s="124"/>
      <c r="I50" s="124"/>
    </row>
    <row r="51" spans="1:9" ht="12" thickTop="1" x14ac:dyDescent="0.2">
      <c r="A51" s="38" t="s">
        <v>885</v>
      </c>
      <c r="B51" s="2"/>
      <c r="C51" s="41">
        <f>C50+C31</f>
        <v>1407684.8800000001</v>
      </c>
      <c r="D51" s="41">
        <f>D50+D31</f>
        <v>51043.51</v>
      </c>
      <c r="E51" s="41">
        <f>E50+E31</f>
        <v>388059.34000000008</v>
      </c>
      <c r="F51" s="41">
        <f>F50+F31</f>
        <v>0</v>
      </c>
      <c r="G51" s="41">
        <f>G50+G31</f>
        <v>954312.82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19976450.050000001</v>
      </c>
      <c r="D56" s="95">
        <f>'DOE25'!G60</f>
        <v>0</v>
      </c>
      <c r="E56" s="95">
        <f>'DOE25'!H60</f>
        <v>0</v>
      </c>
      <c r="F56" s="95">
        <f>'DOE25'!I60</f>
        <v>0</v>
      </c>
      <c r="G56" s="95">
        <f>'DOE25'!J60</f>
        <v>0</v>
      </c>
      <c r="H56"/>
      <c r="I56"/>
    </row>
    <row r="57" spans="1:9" x14ac:dyDescent="0.2">
      <c r="A57" s="1" t="s">
        <v>164</v>
      </c>
      <c r="B57" s="6" t="s">
        <v>165</v>
      </c>
      <c r="C57" s="95">
        <f>'DOE25'!F79</f>
        <v>6769.85</v>
      </c>
      <c r="D57" s="24" t="s">
        <v>288</v>
      </c>
      <c r="E57" s="95">
        <f>'DOE25'!H79</f>
        <v>72401</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2624.83</v>
      </c>
      <c r="D59" s="95">
        <f>'DOE25'!G96</f>
        <v>0</v>
      </c>
      <c r="E59" s="95">
        <f>'DOE25'!H96</f>
        <v>0</v>
      </c>
      <c r="F59" s="95">
        <f>'DOE25'!I96</f>
        <v>0</v>
      </c>
      <c r="G59" s="95">
        <f>'DOE25'!J96</f>
        <v>0</v>
      </c>
      <c r="H59"/>
      <c r="I59"/>
    </row>
    <row r="60" spans="1:9" x14ac:dyDescent="0.2">
      <c r="A60" s="1" t="s">
        <v>170</v>
      </c>
      <c r="B60" s="118" t="s">
        <v>171</v>
      </c>
      <c r="C60" s="24" t="s">
        <v>288</v>
      </c>
      <c r="D60" s="95">
        <f>'DOE25'!G97</f>
        <v>13460</v>
      </c>
      <c r="E60" s="24" t="s">
        <v>288</v>
      </c>
      <c r="F60" s="24" t="s">
        <v>288</v>
      </c>
      <c r="G60" s="24" t="s">
        <v>288</v>
      </c>
      <c r="H60"/>
      <c r="I60"/>
    </row>
    <row r="61" spans="1:9" ht="12" thickBot="1" x14ac:dyDescent="0.25">
      <c r="A61" s="1" t="s">
        <v>172</v>
      </c>
      <c r="B61" s="118" t="s">
        <v>173</v>
      </c>
      <c r="C61" s="95">
        <f>SUM('DOE25'!F98:F110)</f>
        <v>52659.57</v>
      </c>
      <c r="D61" s="95">
        <f>SUM('DOE25'!G98:G110)</f>
        <v>0</v>
      </c>
      <c r="E61" s="95">
        <f>SUM('DOE25'!H98:H110)</f>
        <v>125363.8</v>
      </c>
      <c r="F61" s="95">
        <f>SUM('DOE25'!I98:I110)</f>
        <v>0</v>
      </c>
      <c r="G61" s="95">
        <f>SUM('DOE25'!J98:J110)</f>
        <v>0</v>
      </c>
      <c r="H61"/>
      <c r="I61"/>
    </row>
    <row r="62" spans="1:9" ht="12.75" thickTop="1" thickBot="1" x14ac:dyDescent="0.25">
      <c r="A62" s="29" t="s">
        <v>174</v>
      </c>
      <c r="B62" s="6"/>
      <c r="C62" s="130">
        <f>SUM(C57:C61)</f>
        <v>62054.25</v>
      </c>
      <c r="D62" s="130">
        <f>SUM(D57:D61)</f>
        <v>13460</v>
      </c>
      <c r="E62" s="130">
        <f>SUM(E57:E61)</f>
        <v>197764.8</v>
      </c>
      <c r="F62" s="130">
        <f>SUM(F57:F61)</f>
        <v>0</v>
      </c>
      <c r="G62" s="130">
        <f>SUM(G57:G61)</f>
        <v>0</v>
      </c>
      <c r="H62"/>
      <c r="I62"/>
    </row>
    <row r="63" spans="1:9" ht="12" thickTop="1" x14ac:dyDescent="0.2">
      <c r="A63" s="29" t="s">
        <v>175</v>
      </c>
      <c r="B63" s="6"/>
      <c r="C63" s="22">
        <f>C56+C62</f>
        <v>20038504.300000001</v>
      </c>
      <c r="D63" s="22">
        <f>D56+D62</f>
        <v>13460</v>
      </c>
      <c r="E63" s="22">
        <f>E56+E62</f>
        <v>197764.8</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4833833.3099999996</v>
      </c>
      <c r="D66" s="24" t="s">
        <v>288</v>
      </c>
      <c r="E66" s="24" t="s">
        <v>288</v>
      </c>
      <c r="F66" s="24" t="s">
        <v>288</v>
      </c>
      <c r="G66" s="24" t="s">
        <v>288</v>
      </c>
      <c r="H66"/>
      <c r="I66"/>
    </row>
    <row r="67" spans="1:9" x14ac:dyDescent="0.2">
      <c r="A67" s="1" t="s">
        <v>770</v>
      </c>
      <c r="B67" s="6">
        <v>3112</v>
      </c>
      <c r="C67" s="95">
        <f>'DOE25'!F118</f>
        <v>2214594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3990.42</v>
      </c>
      <c r="D69" s="95">
        <f>'DOE25'!G120</f>
        <v>0</v>
      </c>
      <c r="E69" s="95">
        <f>'DOE25'!H120</f>
        <v>0</v>
      </c>
      <c r="F69" s="95">
        <f>'DOE25'!I120</f>
        <v>0</v>
      </c>
      <c r="G69" s="95">
        <f>'DOE25'!J120</f>
        <v>0</v>
      </c>
      <c r="H69"/>
      <c r="I69"/>
    </row>
    <row r="70" spans="1:9" ht="12" thickTop="1" x14ac:dyDescent="0.2">
      <c r="A70" s="29" t="s">
        <v>252</v>
      </c>
      <c r="B70" s="2"/>
      <c r="C70" s="139">
        <f>SUM(C66:C69)</f>
        <v>7052417.7299999995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384771.05</v>
      </c>
      <c r="D75" s="24" t="s">
        <v>288</v>
      </c>
      <c r="E75" s="24" t="s">
        <v>288</v>
      </c>
      <c r="F75" s="24" t="s">
        <v>288</v>
      </c>
      <c r="G75" s="24" t="s">
        <v>288</v>
      </c>
      <c r="H75"/>
      <c r="I75"/>
    </row>
    <row r="76" spans="1:9" x14ac:dyDescent="0.2">
      <c r="A76" s="1" t="s">
        <v>257</v>
      </c>
      <c r="B76" s="6" t="s">
        <v>179</v>
      </c>
      <c r="C76" s="95">
        <f>SUM('DOE25'!F127:F130)</f>
        <v>146426.71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8625.0499999999993</v>
      </c>
      <c r="E77" s="95">
        <f>SUM('DOE25'!H131:H135)</f>
        <v>0</v>
      </c>
      <c r="F77" s="95">
        <f>SUM('DOE25'!I131:I135)</f>
        <v>0</v>
      </c>
      <c r="G77" s="95">
        <f>SUM('DOE25'!J131:J135)</f>
        <v>0</v>
      </c>
      <c r="H77"/>
      <c r="I77"/>
    </row>
    <row r="78" spans="1:9" ht="12.75" thickTop="1" thickBot="1" x14ac:dyDescent="0.25">
      <c r="A78" s="29" t="s">
        <v>259</v>
      </c>
      <c r="B78" s="6"/>
      <c r="C78" s="130">
        <f>SUM(C72:C77)</f>
        <v>531197.76</v>
      </c>
      <c r="D78" s="130">
        <f>SUM(D72:D77)</f>
        <v>8625.0499999999993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7583615.4899999993</v>
      </c>
      <c r="D81" s="130">
        <f>SUM(D79:D80)+D78+D70</f>
        <v>8625.0499999999993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122520.54</v>
      </c>
      <c r="D88" s="331">
        <f>SUM('DOE25'!G153:G162)</f>
        <v>707939.19000000006</v>
      </c>
      <c r="E88" s="331">
        <f>SUM('DOE25'!H153:H162)</f>
        <v>1111942.0899999999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2154.13</v>
      </c>
      <c r="D90" s="24" t="s">
        <v>288</v>
      </c>
      <c r="E90" s="24" t="s">
        <v>288</v>
      </c>
      <c r="F90" s="24" t="s">
        <v>288</v>
      </c>
      <c r="G90" s="24" t="s">
        <v>288</v>
      </c>
    </row>
    <row r="91" spans="1:9" ht="12.75" thickTop="1" thickBot="1" x14ac:dyDescent="0.25">
      <c r="A91" s="33" t="s">
        <v>750</v>
      </c>
      <c r="C91" s="131">
        <f>SUM(C85:C90)</f>
        <v>124674.67</v>
      </c>
      <c r="D91" s="131">
        <f>SUM(D85:D90)</f>
        <v>707939.19000000006</v>
      </c>
      <c r="E91" s="131">
        <f>SUM(E85:E90)</f>
        <v>1111942.0899999999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180000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129805.8</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129805.8</v>
      </c>
      <c r="D103" s="86">
        <f>SUM(D93:D102)</f>
        <v>0</v>
      </c>
      <c r="E103" s="86">
        <f>SUM(E93:E102)</f>
        <v>0</v>
      </c>
      <c r="F103" s="86">
        <f>SUM(F93:F102)</f>
        <v>0</v>
      </c>
      <c r="G103" s="86">
        <f>SUM(G93:G102)</f>
        <v>180000</v>
      </c>
    </row>
    <row r="104" spans="1:7" ht="12.75" thickTop="1" thickBot="1" x14ac:dyDescent="0.25">
      <c r="A104" s="33" t="s">
        <v>761</v>
      </c>
      <c r="C104" s="86">
        <f>C63+C81+C91+C103</f>
        <v>27876600.260000002</v>
      </c>
      <c r="D104" s="86">
        <f>D63+D81+D91+D103</f>
        <v>730024.24000000011</v>
      </c>
      <c r="E104" s="86">
        <f>E63+E81+E91+E103</f>
        <v>1309706.8899999999</v>
      </c>
      <c r="F104" s="86">
        <f>F63+F81+F91+F103</f>
        <v>0</v>
      </c>
      <c r="G104" s="86">
        <f>G63+G81+G103</f>
        <v>180000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9518811.0599999987</v>
      </c>
      <c r="D109" s="24" t="s">
        <v>288</v>
      </c>
      <c r="E109" s="95">
        <f>('DOE25'!L277)+('DOE25'!L296)+('DOE25'!L315)</f>
        <v>292716.13</v>
      </c>
      <c r="F109" s="24" t="s">
        <v>288</v>
      </c>
      <c r="G109" s="24" t="s">
        <v>288</v>
      </c>
    </row>
    <row r="110" spans="1:7" x14ac:dyDescent="0.2">
      <c r="A110" t="s">
        <v>198</v>
      </c>
      <c r="B110" s="32" t="s">
        <v>199</v>
      </c>
      <c r="C110" s="95">
        <f>('DOE25'!L199)+('DOE25'!L217)+('DOE25'!L235)</f>
        <v>6194032.5300000003</v>
      </c>
      <c r="D110" s="24" t="s">
        <v>288</v>
      </c>
      <c r="E110" s="95">
        <f>('DOE25'!L278)+('DOE25'!L297)+('DOE25'!L316)</f>
        <v>381565.72</v>
      </c>
      <c r="F110" s="24" t="s">
        <v>288</v>
      </c>
      <c r="G110" s="24" t="s">
        <v>288</v>
      </c>
    </row>
    <row r="111" spans="1:7" x14ac:dyDescent="0.2">
      <c r="A111" t="s">
        <v>200</v>
      </c>
      <c r="B111" s="32" t="s">
        <v>165</v>
      </c>
      <c r="C111" s="95">
        <f>('DOE25'!L200)+('DOE25'!L218)+('DOE25'!L236)</f>
        <v>452838.52</v>
      </c>
      <c r="D111" s="24" t="s">
        <v>288</v>
      </c>
      <c r="E111" s="95">
        <f>('DOE25'!L279)+('DOE25'!L298)+('DOE25'!L317)</f>
        <v>0</v>
      </c>
      <c r="F111" s="24" t="s">
        <v>288</v>
      </c>
      <c r="G111" s="24" t="s">
        <v>288</v>
      </c>
    </row>
    <row r="112" spans="1:7" x14ac:dyDescent="0.2">
      <c r="A112" t="s">
        <v>201</v>
      </c>
      <c r="B112" s="32" t="s">
        <v>167</v>
      </c>
      <c r="C112" s="95">
        <f>('DOE25'!L201)+('DOE25'!L219)+('DOE25'!L237)</f>
        <v>354114.3</v>
      </c>
      <c r="D112" s="24" t="s">
        <v>288</v>
      </c>
      <c r="E112" s="95">
        <f>+('DOE25'!L280)+('DOE25'!L299)+('DOE25'!L318)</f>
        <v>3268.03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16519796.41</v>
      </c>
      <c r="D115" s="86">
        <f>SUM(D109:D114)</f>
        <v>0</v>
      </c>
      <c r="E115" s="86">
        <f>SUM(E109:E114)</f>
        <v>677549.88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1573214.1</v>
      </c>
      <c r="D118" s="24" t="s">
        <v>288</v>
      </c>
      <c r="E118" s="95">
        <f>+('DOE25'!L282)+('DOE25'!L301)+('DOE25'!L320)</f>
        <v>181884.06</v>
      </c>
      <c r="F118" s="24" t="s">
        <v>288</v>
      </c>
      <c r="G118" s="24" t="s">
        <v>288</v>
      </c>
    </row>
    <row r="119" spans="1:7" x14ac:dyDescent="0.2">
      <c r="A119" t="s">
        <v>208</v>
      </c>
      <c r="B119" s="32" t="s">
        <v>209</v>
      </c>
      <c r="C119" s="95">
        <f>('DOE25'!L204)+('DOE25'!L222)+('DOE25'!L240)</f>
        <v>515364.72</v>
      </c>
      <c r="D119" s="24" t="s">
        <v>288</v>
      </c>
      <c r="E119" s="95">
        <f>+('DOE25'!L283)+('DOE25'!L302)+('DOE25'!L321)</f>
        <v>319022.93</v>
      </c>
      <c r="F119" s="24" t="s">
        <v>288</v>
      </c>
      <c r="G119" s="24" t="s">
        <v>288</v>
      </c>
    </row>
    <row r="120" spans="1:7" x14ac:dyDescent="0.2">
      <c r="A120" t="s">
        <v>210</v>
      </c>
      <c r="B120" s="32" t="s">
        <v>211</v>
      </c>
      <c r="C120" s="95">
        <f>('DOE25'!L205)+('DOE25'!L223)+('DOE25'!L241)</f>
        <v>1645683.7199999997</v>
      </c>
      <c r="D120" s="24" t="s">
        <v>288</v>
      </c>
      <c r="E120" s="95">
        <f>+('DOE25'!L284)+('DOE25'!L303)+('DOE25'!L322)</f>
        <v>23013.21</v>
      </c>
      <c r="F120" s="24" t="s">
        <v>288</v>
      </c>
      <c r="G120" s="24" t="s">
        <v>288</v>
      </c>
    </row>
    <row r="121" spans="1:7" x14ac:dyDescent="0.2">
      <c r="A121" t="s">
        <v>212</v>
      </c>
      <c r="B121" s="32" t="s">
        <v>213</v>
      </c>
      <c r="C121" s="95">
        <f>('DOE25'!L206)+('DOE25'!L224)+('DOE25'!L242)</f>
        <v>1482516.42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1901353</v>
      </c>
      <c r="D123" s="24" t="s">
        <v>288</v>
      </c>
      <c r="E123" s="95">
        <f>+('DOE25'!L287)+('DOE25'!L306)+('DOE25'!L325)</f>
        <v>90275.95</v>
      </c>
      <c r="F123" s="24" t="s">
        <v>288</v>
      </c>
      <c r="G123" s="24" t="s">
        <v>288</v>
      </c>
    </row>
    <row r="124" spans="1:7" x14ac:dyDescent="0.2">
      <c r="A124" t="s">
        <v>218</v>
      </c>
      <c r="B124" s="32" t="s">
        <v>219</v>
      </c>
      <c r="C124" s="95">
        <f>('DOE25'!L209)+('DOE25'!L227)+('DOE25'!L245+'DOE25'!L255)</f>
        <v>1451710.48</v>
      </c>
      <c r="D124" s="24" t="s">
        <v>288</v>
      </c>
      <c r="E124" s="95">
        <f>+('DOE25'!L288)+('DOE25'!L307)+('DOE25'!L326)</f>
        <v>55513.11</v>
      </c>
      <c r="F124" s="24" t="s">
        <v>288</v>
      </c>
      <c r="G124" s="24" t="s">
        <v>288</v>
      </c>
    </row>
    <row r="125" spans="1:7" x14ac:dyDescent="0.2">
      <c r="A125" t="s">
        <v>220</v>
      </c>
      <c r="B125" s="32" t="s">
        <v>221</v>
      </c>
      <c r="C125" s="95">
        <f>('DOE25'!L210)+('DOE25'!L228)+('DOE25'!L246)</f>
        <v>26693.300000000003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708672</v>
      </c>
      <c r="E127" s="24" t="s">
        <v>288</v>
      </c>
      <c r="F127" s="24" t="s">
        <v>288</v>
      </c>
      <c r="G127" s="24" t="s">
        <v>288</v>
      </c>
    </row>
    <row r="128" spans="1:7" ht="12.75" thickTop="1" thickBot="1" x14ac:dyDescent="0.25">
      <c r="A128" s="33" t="s">
        <v>226</v>
      </c>
      <c r="C128" s="86">
        <f>SUM(C118:C127)</f>
        <v>8596535.7400000002</v>
      </c>
      <c r="D128" s="86">
        <f>SUM(D118:D127)</f>
        <v>708672</v>
      </c>
      <c r="E128" s="86">
        <f>SUM(E118:E127)</f>
        <v>669709.26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103800</v>
      </c>
      <c r="D130" s="24" t="s">
        <v>288</v>
      </c>
      <c r="E130" s="129">
        <f>'DOE25'!L337</f>
        <v>0</v>
      </c>
      <c r="F130" s="129">
        <f>SUM('DOE25'!L375:'DOE25'!L381)</f>
        <v>0</v>
      </c>
      <c r="G130" s="24" t="s">
        <v>288</v>
      </c>
    </row>
    <row r="131" spans="1:7" x14ac:dyDescent="0.2">
      <c r="A131" t="s">
        <v>229</v>
      </c>
      <c r="B131" s="32">
        <v>5110</v>
      </c>
      <c r="C131" s="95">
        <f>'DOE25'!L261</f>
        <v>755837.12</v>
      </c>
      <c r="D131" s="24" t="s">
        <v>288</v>
      </c>
      <c r="E131" s="129">
        <f>'DOE25'!L342</f>
        <v>0</v>
      </c>
      <c r="F131" s="24" t="s">
        <v>288</v>
      </c>
      <c r="G131" s="24" t="s">
        <v>288</v>
      </c>
    </row>
    <row r="132" spans="1:7" x14ac:dyDescent="0.2">
      <c r="A132" t="s">
        <v>230</v>
      </c>
      <c r="B132" s="32">
        <v>5120</v>
      </c>
      <c r="C132" s="95">
        <f>'DOE25'!L262</f>
        <v>770674.48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129805.8</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180000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41250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1851561.6</v>
      </c>
      <c r="D144" s="141">
        <f>SUM(D130:D143)</f>
        <v>0</v>
      </c>
      <c r="E144" s="141">
        <f>SUM(E130:E143)</f>
        <v>0</v>
      </c>
      <c r="F144" s="141">
        <f>SUM(F130:F143)</f>
        <v>0</v>
      </c>
      <c r="G144" s="141">
        <f>SUM(G130:G143)</f>
        <v>129805.8</v>
      </c>
    </row>
    <row r="145" spans="1:9" ht="12.75" thickTop="1" thickBot="1" x14ac:dyDescent="0.25">
      <c r="A145" s="33" t="s">
        <v>244</v>
      </c>
      <c r="C145" s="86">
        <f>(C115+C128+C144)</f>
        <v>26967893.75</v>
      </c>
      <c r="D145" s="86">
        <f>(D115+D128+D144)</f>
        <v>708672</v>
      </c>
      <c r="E145" s="86">
        <f>(E115+E128+E144)</f>
        <v>1347259.1400000001</v>
      </c>
      <c r="F145" s="86">
        <f>(F115+F128+F144)</f>
        <v>0</v>
      </c>
      <c r="G145" s="86">
        <f>(G115+G128+G144)</f>
        <v>129805.8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25</v>
      </c>
      <c r="D151" s="153">
        <f>'DOE25'!H491</f>
        <v>25</v>
      </c>
      <c r="E151" s="153">
        <f>'DOE25'!I491</f>
        <v>25</v>
      </c>
      <c r="F151" s="153">
        <f>'DOE25'!J491</f>
        <v>0</v>
      </c>
      <c r="G151" s="24" t="s">
        <v>288</v>
      </c>
    </row>
    <row r="152" spans="1:9" x14ac:dyDescent="0.2">
      <c r="A152" s="136" t="s">
        <v>28</v>
      </c>
      <c r="B152" s="152" t="str">
        <f>'DOE25'!F492</f>
        <v>5/20/13</v>
      </c>
      <c r="C152" s="152" t="str">
        <f>'DOE25'!G492</f>
        <v>6/12/14</v>
      </c>
      <c r="D152" s="152">
        <f>'DOE25'!H492</f>
        <v>0.14285714285714285</v>
      </c>
      <c r="E152" s="152">
        <f>'DOE25'!I492</f>
        <v>8.9285714285714281E-3</v>
      </c>
      <c r="F152" s="152">
        <f>'DOE25'!J492</f>
        <v>0</v>
      </c>
      <c r="G152" s="24" t="s">
        <v>288</v>
      </c>
    </row>
    <row r="153" spans="1:9" x14ac:dyDescent="0.2">
      <c r="A153" s="136" t="s">
        <v>29</v>
      </c>
      <c r="B153" s="152" t="str">
        <f>'DOE25'!F493</f>
        <v>11/20/28</v>
      </c>
      <c r="C153" s="152" t="str">
        <f>'DOE25'!G493</f>
        <v>12/15/39</v>
      </c>
      <c r="D153" s="152">
        <f>'DOE25'!H493</f>
        <v>1.1666666666666667E-2</v>
      </c>
      <c r="E153" s="152">
        <f>'DOE25'!I493</f>
        <v>1.6260162601626016E-3</v>
      </c>
      <c r="F153" s="152">
        <f>'DOE25'!J493</f>
        <v>0</v>
      </c>
      <c r="G153" s="24" t="s">
        <v>288</v>
      </c>
    </row>
    <row r="154" spans="1:9" x14ac:dyDescent="0.2">
      <c r="A154" s="136" t="s">
        <v>30</v>
      </c>
      <c r="B154" s="137">
        <f>'DOE25'!F494</f>
        <v>2012334</v>
      </c>
      <c r="C154" s="137">
        <f>'DOE25'!G494</f>
        <v>445000</v>
      </c>
      <c r="D154" s="137">
        <f>'DOE25'!H494</f>
        <v>10000000</v>
      </c>
      <c r="E154" s="137">
        <f>'DOE25'!I494</f>
        <v>7358000</v>
      </c>
      <c r="F154" s="137">
        <f>'DOE25'!J494</f>
        <v>0</v>
      </c>
      <c r="G154" s="24" t="s">
        <v>288</v>
      </c>
    </row>
    <row r="155" spans="1:9" x14ac:dyDescent="0.2">
      <c r="A155" s="136" t="s">
        <v>31</v>
      </c>
      <c r="B155" s="137">
        <f>'DOE25'!F495</f>
        <v>2.59</v>
      </c>
      <c r="C155" s="137">
        <f>'DOE25'!G495</f>
        <v>3.01</v>
      </c>
      <c r="D155" s="137">
        <f>'DOE25'!H495</f>
        <v>4.12</v>
      </c>
      <c r="E155" s="137">
        <f>'DOE25'!I495</f>
        <v>4.26</v>
      </c>
      <c r="F155" s="137">
        <f>'DOE25'!J495</f>
        <v>0</v>
      </c>
      <c r="G155" s="24" t="s">
        <v>288</v>
      </c>
    </row>
    <row r="156" spans="1:9" x14ac:dyDescent="0.2">
      <c r="A156" s="22" t="s">
        <v>32</v>
      </c>
      <c r="B156" s="137">
        <f>'DOE25'!F496</f>
        <v>1424036.17</v>
      </c>
      <c r="C156" s="137">
        <f>'DOE25'!G496</f>
        <v>3483979.02</v>
      </c>
      <c r="D156" s="137">
        <f>'DOE25'!H496</f>
        <v>8766103.4399999995</v>
      </c>
      <c r="E156" s="137">
        <f>'DOE25'!I496</f>
        <v>6562285.5199999996</v>
      </c>
      <c r="F156" s="137">
        <f>'DOE25'!J496</f>
        <v>0</v>
      </c>
      <c r="G156" s="138">
        <f>SUM(B156:F156)</f>
        <v>20236404.149999999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131653.26</v>
      </c>
      <c r="C158" s="137">
        <f>'DOE25'!G498</f>
        <v>133456.71</v>
      </c>
      <c r="D158" s="137">
        <f>'DOE25'!H498</f>
        <v>286864.32</v>
      </c>
      <c r="E158" s="137">
        <f>'DOE25'!I498</f>
        <v>203862.83</v>
      </c>
      <c r="F158" s="137">
        <f>'DOE25'!J498</f>
        <v>0</v>
      </c>
      <c r="G158" s="138">
        <f t="shared" si="0"/>
        <v>755837.12</v>
      </c>
    </row>
    <row r="159" spans="1:9" x14ac:dyDescent="0.2">
      <c r="A159" s="22" t="s">
        <v>35</v>
      </c>
      <c r="B159" s="137">
        <f>'DOE25'!F499</f>
        <v>1292382.8799999999</v>
      </c>
      <c r="C159" s="137">
        <f>'DOE25'!G499</f>
        <v>3350522.31</v>
      </c>
      <c r="D159" s="137">
        <f>'DOE25'!H499</f>
        <v>8479239.1199999992</v>
      </c>
      <c r="E159" s="137">
        <f>'DOE25'!I499</f>
        <v>6358422.6900000004</v>
      </c>
      <c r="F159" s="137">
        <f>'DOE25'!J499</f>
        <v>0</v>
      </c>
      <c r="G159" s="138">
        <f t="shared" si="0"/>
        <v>19480567</v>
      </c>
    </row>
    <row r="160" spans="1:9" x14ac:dyDescent="0.2">
      <c r="A160" s="22" t="s">
        <v>36</v>
      </c>
      <c r="B160" s="137">
        <f>'DOE25'!F500</f>
        <v>144156.65</v>
      </c>
      <c r="C160" s="137">
        <f>'DOE25'!G500</f>
        <v>0</v>
      </c>
      <c r="D160" s="137">
        <f>'DOE25'!H500</f>
        <v>0</v>
      </c>
      <c r="E160" s="137">
        <f>'DOE25'!I500</f>
        <v>0</v>
      </c>
      <c r="F160" s="137">
        <f>'DOE25'!J500</f>
        <v>0</v>
      </c>
      <c r="G160" s="138">
        <f t="shared" si="0"/>
        <v>144156.65</v>
      </c>
    </row>
    <row r="161" spans="1:7" x14ac:dyDescent="0.2">
      <c r="A161" s="22" t="s">
        <v>37</v>
      </c>
      <c r="B161" s="137">
        <f>'DOE25'!F501</f>
        <v>1436539.5299999998</v>
      </c>
      <c r="C161" s="137">
        <f>'DOE25'!G501</f>
        <v>3350522.31</v>
      </c>
      <c r="D161" s="137">
        <f>'DOE25'!H501</f>
        <v>8479239.1199999992</v>
      </c>
      <c r="E161" s="137">
        <f>'DOE25'!I501</f>
        <v>6358422.6900000004</v>
      </c>
      <c r="F161" s="137">
        <f>'DOE25'!J501</f>
        <v>0</v>
      </c>
      <c r="G161" s="138">
        <f t="shared" si="0"/>
        <v>19624723.649999999</v>
      </c>
    </row>
    <row r="162" spans="1:7" x14ac:dyDescent="0.2">
      <c r="A162" s="22" t="s">
        <v>38</v>
      </c>
      <c r="B162" s="137">
        <f>'DOE25'!F502</f>
        <v>143612</v>
      </c>
      <c r="C162" s="137">
        <f>'DOE25'!G502</f>
        <v>137493.56</v>
      </c>
      <c r="D162" s="137">
        <f>'DOE25'!H502</f>
        <v>298795.15000000002</v>
      </c>
      <c r="E162" s="137">
        <f>'DOE25'!I502</f>
        <v>212636.76</v>
      </c>
      <c r="F162" s="137">
        <f>'DOE25'!J502</f>
        <v>0</v>
      </c>
      <c r="G162" s="138">
        <f t="shared" si="0"/>
        <v>792537.47</v>
      </c>
    </row>
    <row r="163" spans="1:7" x14ac:dyDescent="0.2">
      <c r="A163" s="22" t="s">
        <v>39</v>
      </c>
      <c r="B163" s="137">
        <f>'DOE25'!F503</f>
        <v>32919</v>
      </c>
      <c r="C163" s="137">
        <f>'DOE25'!G503</f>
        <v>98975.92</v>
      </c>
      <c r="D163" s="137">
        <f>'DOE25'!H503</f>
        <v>343790.33</v>
      </c>
      <c r="E163" s="137">
        <f>'DOE25'!I503</f>
        <v>266762.88</v>
      </c>
      <c r="F163" s="137">
        <f>'DOE25'!J503</f>
        <v>0</v>
      </c>
      <c r="G163" s="138">
        <f t="shared" si="0"/>
        <v>742448.13</v>
      </c>
    </row>
    <row r="164" spans="1:7" x14ac:dyDescent="0.2">
      <c r="A164" s="22" t="s">
        <v>246</v>
      </c>
      <c r="B164" s="137">
        <f>'DOE25'!F504</f>
        <v>176531</v>
      </c>
      <c r="C164" s="137">
        <f>'DOE25'!G504</f>
        <v>236469.47999999998</v>
      </c>
      <c r="D164" s="137">
        <f>'DOE25'!H504</f>
        <v>642585.48</v>
      </c>
      <c r="E164" s="137">
        <f>'DOE25'!I504</f>
        <v>479399.64</v>
      </c>
      <c r="F164" s="137">
        <f>'DOE25'!J504</f>
        <v>0</v>
      </c>
      <c r="G164" s="138">
        <f t="shared" si="0"/>
        <v>1534985.6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26" sqref="F2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Mascoma Valley Regional School District</v>
      </c>
    </row>
    <row r="3" spans="1:4" x14ac:dyDescent="0.2">
      <c r="B3" s="188" t="s">
        <v>1666</v>
      </c>
    </row>
    <row r="4" spans="1:4" x14ac:dyDescent="0.2">
      <c r="B4" t="s">
        <v>61</v>
      </c>
      <c r="C4" s="179">
        <f>IF('DOE25'!F666+'DOE25'!F671=0,0,ROUND('DOE25'!F673,0))</f>
        <v>22878</v>
      </c>
    </row>
    <row r="5" spans="1:4" x14ac:dyDescent="0.2">
      <c r="B5" t="s">
        <v>700</v>
      </c>
      <c r="C5" s="179">
        <f>IF('DOE25'!G666+'DOE25'!G671=0,0,ROUND('DOE25'!G673,0))</f>
        <v>0</v>
      </c>
    </row>
    <row r="6" spans="1:4" x14ac:dyDescent="0.2">
      <c r="B6" t="s">
        <v>62</v>
      </c>
      <c r="C6" s="179">
        <f>IF('DOE25'!H666+'DOE25'!H671=0,0,ROUND('DOE25'!H673,0))</f>
        <v>22353</v>
      </c>
    </row>
    <row r="7" spans="1:4" x14ac:dyDescent="0.2">
      <c r="B7" t="s">
        <v>701</v>
      </c>
      <c r="C7" s="179">
        <f>IF('DOE25'!I666+'DOE25'!I671=0,0,ROUND('DOE25'!I673,0))</f>
        <v>22710</v>
      </c>
    </row>
    <row r="9" spans="1:4" x14ac:dyDescent="0.2">
      <c r="A9" s="187" t="s">
        <v>94</v>
      </c>
      <c r="B9" s="188" t="s">
        <v>1671</v>
      </c>
      <c r="C9" s="181" t="s">
        <v>720</v>
      </c>
      <c r="D9" s="181" t="s">
        <v>721</v>
      </c>
    </row>
    <row r="10" spans="1:4" x14ac:dyDescent="0.2">
      <c r="A10">
        <v>1100</v>
      </c>
      <c r="B10" t="s">
        <v>702</v>
      </c>
      <c r="C10" s="179">
        <f>ROUND('DOE25'!L198+'DOE25'!L216+'DOE25'!L234+'DOE25'!L277+'DOE25'!L296+'DOE25'!L315,0)</f>
        <v>9811527</v>
      </c>
      <c r="D10" s="182">
        <f>ROUND((C10/$C$28)*100,1)</f>
        <v>35.1</v>
      </c>
    </row>
    <row r="11" spans="1:4" x14ac:dyDescent="0.2">
      <c r="A11">
        <v>1200</v>
      </c>
      <c r="B11" t="s">
        <v>703</v>
      </c>
      <c r="C11" s="179">
        <f>ROUND('DOE25'!L199+'DOE25'!L217+'DOE25'!L235+'DOE25'!L278+'DOE25'!L297+'DOE25'!L316,0)</f>
        <v>6575598</v>
      </c>
      <c r="D11" s="182">
        <f>ROUND((C11/$C$28)*100,1)</f>
        <v>23.5</v>
      </c>
    </row>
    <row r="12" spans="1:4" x14ac:dyDescent="0.2">
      <c r="A12">
        <v>1300</v>
      </c>
      <c r="B12" t="s">
        <v>704</v>
      </c>
      <c r="C12" s="179">
        <f>ROUND('DOE25'!L200+'DOE25'!L218+'DOE25'!L236+'DOE25'!L279+'DOE25'!L298+'DOE25'!L317,0)</f>
        <v>452839</v>
      </c>
      <c r="D12" s="182">
        <f>ROUND((C12/$C$28)*100,1)</f>
        <v>1.6</v>
      </c>
    </row>
    <row r="13" spans="1:4" x14ac:dyDescent="0.2">
      <c r="A13">
        <v>1400</v>
      </c>
      <c r="B13" t="s">
        <v>705</v>
      </c>
      <c r="C13" s="179">
        <f>ROUND('DOE25'!L201+'DOE25'!L219+'DOE25'!L237+'DOE25'!L280+'DOE25'!L299+'DOE25'!L318,0)</f>
        <v>357382</v>
      </c>
      <c r="D13" s="182">
        <f>ROUND((C13/$C$28)*100,1)</f>
        <v>1.3</v>
      </c>
    </row>
    <row r="14" spans="1:4" x14ac:dyDescent="0.2">
      <c r="D14" s="182"/>
    </row>
    <row r="15" spans="1:4" x14ac:dyDescent="0.2">
      <c r="A15">
        <v>2100</v>
      </c>
      <c r="B15" t="s">
        <v>706</v>
      </c>
      <c r="C15" s="179">
        <f>ROUND('DOE25'!L203+'DOE25'!L221+'DOE25'!L239+'DOE25'!L282+'DOE25'!L301+'DOE25'!L320,0)</f>
        <v>1755098</v>
      </c>
      <c r="D15" s="182">
        <f t="shared" ref="D15:D27" si="0">ROUND((C15/$C$28)*100,1)</f>
        <v>6.3</v>
      </c>
    </row>
    <row r="16" spans="1:4" x14ac:dyDescent="0.2">
      <c r="A16">
        <v>2200</v>
      </c>
      <c r="B16" t="s">
        <v>707</v>
      </c>
      <c r="C16" s="179">
        <f>ROUND('DOE25'!L204+'DOE25'!L222+'DOE25'!L240+'DOE25'!L283+'DOE25'!L302+'DOE25'!L321,0)</f>
        <v>834388</v>
      </c>
      <c r="D16" s="182">
        <f t="shared" si="0"/>
        <v>3</v>
      </c>
    </row>
    <row r="17" spans="1:4" x14ac:dyDescent="0.2">
      <c r="A17" s="183" t="s">
        <v>723</v>
      </c>
      <c r="B17" t="s">
        <v>738</v>
      </c>
      <c r="C17" s="179">
        <f>ROUND('DOE25'!L205+'DOE25'!L210+'DOE25'!L223+'DOE25'!L228+'DOE25'!L241+'DOE25'!L246+'DOE25'!L284+'DOE25'!L289+'DOE25'!L303+'DOE25'!L308+'DOE25'!L322+'DOE25'!L327,0)</f>
        <v>1695390</v>
      </c>
      <c r="D17" s="182">
        <f t="shared" si="0"/>
        <v>6.1</v>
      </c>
    </row>
    <row r="18" spans="1:4" x14ac:dyDescent="0.2">
      <c r="A18">
        <v>2400</v>
      </c>
      <c r="B18" t="s">
        <v>711</v>
      </c>
      <c r="C18" s="179">
        <f>ROUND('DOE25'!L206+'DOE25'!L224+'DOE25'!L242+'DOE25'!L285+'DOE25'!L304+'DOE25'!L323,0)</f>
        <v>1482516</v>
      </c>
      <c r="D18" s="182">
        <f t="shared" si="0"/>
        <v>5.3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1991629</v>
      </c>
      <c r="D20" s="182">
        <f t="shared" si="0"/>
        <v>7.1</v>
      </c>
    </row>
    <row r="21" spans="1:4" x14ac:dyDescent="0.2">
      <c r="A21">
        <v>2700</v>
      </c>
      <c r="B21" t="s">
        <v>710</v>
      </c>
      <c r="C21" s="179">
        <f>ROUND('DOE25'!L209+'DOE25'!L227+'DOE25'!L245+'DOE25'!L288+'DOE25'!L307+'DOE25'!L326,0)</f>
        <v>1507224</v>
      </c>
      <c r="D21" s="182">
        <f t="shared" si="0"/>
        <v>5.4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770674</v>
      </c>
      <c r="D25" s="182">
        <f t="shared" si="0"/>
        <v>2.8</v>
      </c>
    </row>
    <row r="26" spans="1:4" x14ac:dyDescent="0.2">
      <c r="A26" s="183" t="s">
        <v>717</v>
      </c>
      <c r="B26" t="s">
        <v>718</v>
      </c>
      <c r="C26" s="179">
        <f>'DOE25'!L269+'DOE25'!L270+'DOE25'!L350+'DOE25'!L351</f>
        <v>41250</v>
      </c>
      <c r="D26" s="182">
        <f t="shared" si="0"/>
        <v>0.1</v>
      </c>
    </row>
    <row r="27" spans="1:4" x14ac:dyDescent="0.2">
      <c r="A27">
        <v>3100</v>
      </c>
      <c r="B27" t="s">
        <v>11</v>
      </c>
      <c r="C27" s="179">
        <f>ROUND('DOE25'!L363-'DOE25'!L362,0)-SUM('DOE25'!G97:G110)</f>
        <v>695212</v>
      </c>
      <c r="D27" s="182">
        <f t="shared" si="0"/>
        <v>2.5</v>
      </c>
    </row>
    <row r="28" spans="1:4" x14ac:dyDescent="0.2">
      <c r="B28" s="187" t="s">
        <v>719</v>
      </c>
      <c r="C28" s="180">
        <f>SUM(C10:C27)</f>
        <v>27970727</v>
      </c>
      <c r="D28" s="184">
        <f>ROUND(SUM(D10:D27),0)</f>
        <v>100</v>
      </c>
    </row>
    <row r="29" spans="1:4" x14ac:dyDescent="0.2">
      <c r="A29">
        <v>4000</v>
      </c>
      <c r="B29" t="s">
        <v>724</v>
      </c>
      <c r="C29" s="179">
        <f>ROUND('DOE25'!L256+'DOE25'!L337+'DOE25'!L375+'DOE25'!L376+'DOE25'!L377+'DOE25'!L378+'DOE25'!L379+'DOE25'!L380+'DOE25'!L381,0)</f>
        <v>103800</v>
      </c>
    </row>
    <row r="30" spans="1:4" x14ac:dyDescent="0.2">
      <c r="B30" s="187" t="s">
        <v>725</v>
      </c>
      <c r="C30" s="180">
        <f>SUM(C28:C29)</f>
        <v>28074527</v>
      </c>
    </row>
    <row r="31" spans="1:4" x14ac:dyDescent="0.2">
      <c r="B31" s="33"/>
      <c r="C31" s="180"/>
    </row>
    <row r="32" spans="1:4" x14ac:dyDescent="0.2">
      <c r="A32">
        <v>5100</v>
      </c>
      <c r="B32" s="33" t="s">
        <v>726</v>
      </c>
      <c r="C32" s="180">
        <f>ROUND('DOE25'!L261+'DOE25'!L342,0)</f>
        <v>755837</v>
      </c>
    </row>
    <row r="34" spans="1:4" x14ac:dyDescent="0.2">
      <c r="A34" s="187" t="s">
        <v>94</v>
      </c>
      <c r="B34" s="188" t="s">
        <v>1667</v>
      </c>
      <c r="C34" s="181" t="s">
        <v>720</v>
      </c>
      <c r="D34" s="181" t="s">
        <v>721</v>
      </c>
    </row>
    <row r="35" spans="1:4" x14ac:dyDescent="0.2">
      <c r="A35">
        <v>1100</v>
      </c>
      <c r="B35" s="185" t="s">
        <v>727</v>
      </c>
      <c r="C35" s="179">
        <f>ROUND('DOE25'!F60+'DOE25'!G60+'DOE25'!H60+'DOE25'!I60+'DOE25'!J60,0)</f>
        <v>19976450</v>
      </c>
      <c r="D35" s="182">
        <f t="shared" ref="D35:D40" si="1">ROUND((C35/$C$41)*100,1)</f>
        <v>67.099999999999994</v>
      </c>
    </row>
    <row r="36" spans="1:4" x14ac:dyDescent="0.2">
      <c r="B36" s="185" t="s">
        <v>739</v>
      </c>
      <c r="C36" s="179">
        <f>SUM('DOE25'!F112:J112)-SUM('DOE25'!G97:G110)+('DOE25'!F175+'DOE25'!F176+'DOE25'!I175+'DOE25'!I176)-C35</f>
        <v>259819.10000000149</v>
      </c>
      <c r="D36" s="182">
        <f t="shared" si="1"/>
        <v>0.9</v>
      </c>
    </row>
    <row r="37" spans="1:4" x14ac:dyDescent="0.2">
      <c r="A37" s="183" t="s">
        <v>835</v>
      </c>
      <c r="B37" s="185" t="s">
        <v>728</v>
      </c>
      <c r="C37" s="179">
        <f>ROUND('DOE25'!F117+'DOE25'!F118,0)</f>
        <v>7048427</v>
      </c>
      <c r="D37" s="182">
        <f t="shared" si="1"/>
        <v>23.7</v>
      </c>
    </row>
    <row r="38" spans="1:4" x14ac:dyDescent="0.2">
      <c r="A38" s="183" t="s">
        <v>734</v>
      </c>
      <c r="B38" s="185" t="s">
        <v>729</v>
      </c>
      <c r="C38" s="179">
        <f>ROUND(SUM('DOE25'!F140:J140)-SUM('DOE25'!F117:F119),0)</f>
        <v>543813</v>
      </c>
      <c r="D38" s="182">
        <f t="shared" si="1"/>
        <v>1.8</v>
      </c>
    </row>
    <row r="39" spans="1:4" x14ac:dyDescent="0.2">
      <c r="A39">
        <v>4000</v>
      </c>
      <c r="B39" s="185" t="s">
        <v>730</v>
      </c>
      <c r="C39" s="179">
        <f>ROUND('DOE25'!F170+'DOE25'!G170+'DOE25'!H170+'DOE25'!I170,0)</f>
        <v>1944556</v>
      </c>
      <c r="D39" s="182">
        <f t="shared" si="1"/>
        <v>6.5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29773065.100000001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Mascoma Valley Regional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2021-08-30T17:22:55Z</cp:lastPrinted>
  <dcterms:created xsi:type="dcterms:W3CDTF">1997-12-04T19:04:30Z</dcterms:created>
  <dcterms:modified xsi:type="dcterms:W3CDTF">2021-12-14T19:00:23Z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