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30585" yWindow="1065" windowWidth="24855" windowHeight="1453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 i="12" l="1"/>
  <c r="B19" i="12"/>
  <c r="C10" i="12"/>
  <c r="B10" i="12"/>
  <c r="F466" i="1" l="1"/>
  <c r="F473" i="1"/>
  <c r="F198" i="1" l="1"/>
  <c r="K264" i="1"/>
  <c r="J469" i="1"/>
  <c r="J466" i="1"/>
  <c r="J605" i="1" l="1"/>
  <c r="G580" i="1"/>
  <c r="F135" i="1"/>
  <c r="E37" i="14" l="1"/>
  <c r="G496" i="1" l="1"/>
  <c r="G503" i="1"/>
  <c r="G499" i="1"/>
  <c r="G500" i="1"/>
  <c r="F496" i="1"/>
  <c r="J592" i="1" l="1"/>
  <c r="I592" i="1"/>
  <c r="H592" i="1"/>
  <c r="K242" i="1"/>
  <c r="F234" i="1" l="1"/>
  <c r="J360" i="1"/>
  <c r="I278" i="1" l="1"/>
  <c r="I296" i="1"/>
  <c r="I315" i="1"/>
  <c r="H302" i="1"/>
  <c r="I283" i="1"/>
  <c r="I282" i="1"/>
  <c r="F282" i="1"/>
  <c r="F320" i="1"/>
  <c r="H282" i="1"/>
  <c r="I299" i="1"/>
  <c r="I280" i="1"/>
  <c r="F278" i="1"/>
  <c r="I277" i="1"/>
  <c r="H155" i="1"/>
  <c r="H154" i="1"/>
  <c r="H162" i="1"/>
  <c r="H368" i="1"/>
  <c r="G368" i="1"/>
  <c r="I361" i="1"/>
  <c r="I360" i="1"/>
  <c r="F48" i="1" l="1"/>
  <c r="F12" i="1"/>
  <c r="F10"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C13" i="10" s="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1"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G655" i="1"/>
  <c r="H655" i="1"/>
  <c r="H656" i="1"/>
  <c r="I170" i="1"/>
  <c r="F409" i="1" l="1"/>
  <c r="H644" i="1" s="1"/>
  <c r="J644" i="1" s="1"/>
  <c r="J112" i="1"/>
  <c r="G646" i="1"/>
  <c r="I409" i="1"/>
  <c r="G662" i="1"/>
  <c r="J652" i="1"/>
  <c r="G409" i="1"/>
  <c r="H646" i="1" s="1"/>
  <c r="H477" i="1"/>
  <c r="H625" i="1" s="1"/>
  <c r="J625" i="1" s="1"/>
  <c r="C112" i="2"/>
  <c r="J656" i="1"/>
  <c r="A40" i="12"/>
  <c r="H663" i="1"/>
  <c r="C12" i="10"/>
  <c r="E124" i="2"/>
  <c r="J258" i="1"/>
  <c r="E119" i="2"/>
  <c r="H409" i="1"/>
  <c r="H645" i="1" s="1"/>
  <c r="J645" i="1" s="1"/>
  <c r="K339" i="1"/>
  <c r="K353" i="1" s="1"/>
  <c r="G339" i="1"/>
  <c r="G353" i="1" s="1"/>
  <c r="E110" i="2"/>
  <c r="J572" i="1"/>
  <c r="E123" i="2"/>
  <c r="D50" i="2"/>
  <c r="E131" i="2"/>
  <c r="G553"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C141" i="2"/>
  <c r="C144" i="2" s="1"/>
  <c r="F661" i="1"/>
  <c r="F665" i="1" s="1"/>
  <c r="F668" i="1" s="1"/>
  <c r="E51" i="2"/>
  <c r="D51" i="2"/>
  <c r="I663" i="1"/>
  <c r="H661" i="1"/>
  <c r="H665" i="1" s="1"/>
  <c r="H668" i="1" s="1"/>
  <c r="E115" i="2"/>
  <c r="E128" i="2"/>
  <c r="H649" i="1"/>
  <c r="J649" i="1" s="1"/>
  <c r="F194" i="1"/>
  <c r="G628" i="1" s="1"/>
  <c r="J628" i="1" s="1"/>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<sst xmlns="http://schemas.openxmlformats.org/spreadsheetml/2006/main" count="5582" uniqueCount="1678">
  <si>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</si>
  <si>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</si>
  <si>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</si>
  <si>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</si>
  <si>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</si>
  <si>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</si>
  <si>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</si>
  <si>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</si>
  <si>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</si>
  <si>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</si>
  <si>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</si>
  <si>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</si>
  <si>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</si>
  <si>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</si>
  <si>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</si>
  <si>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</si>
  <si>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</si>
  <si>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</si>
  <si>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</si>
  <si>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</si>
  <si>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</si>
  <si>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</si>
  <si>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</si>
  <si>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</si>
  <si>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</si>
  <si>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</si>
  <si>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</si>
  <si>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</si>
  <si>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</si>
  <si>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</si>
  <si>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</si>
  <si>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</si>
  <si>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</si>
  <si>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</si>
  <si>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</si>
  <si>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</si>
  <si>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</si>
  <si>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</si>
  <si>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</si>
  <si>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</si>
  <si>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</si>
  <si>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</si>
  <si>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</si>
  <si>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</si>
  <si>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</si>
  <si>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</si>
  <si>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</si>
  <si>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</si>
  <si>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</si>
  <si>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</si>
  <si>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</si>
  <si>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</si>
  <si>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</si>
  <si>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</si>
  <si>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</si>
  <si>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</si>
  <si>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</si>
  <si>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</si>
  <si>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</si>
  <si>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</si>
  <si>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</si>
  <si>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</si>
  <si>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</si>
  <si>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</si>
  <si>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</si>
  <si>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</si>
  <si>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</si>
  <si>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</si>
  <si>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</si>
  <si>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</si>
  <si>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</si>
  <si>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</si>
  <si>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</si>
  <si>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</si>
  <si>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</si>
  <si>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</si>
  <si>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</si>
  <si>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</si>
  <si>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</si>
  <si>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</si>
  <si>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</si>
  <si>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</si>
  <si>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</si>
  <si>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</si>
  <si>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</si>
  <si>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</si>
  <si>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</si>
  <si>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</si>
  <si>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</si>
  <si>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</si>
  <si>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</si>
  <si>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</si>
  <si>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</si>
  <si>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</si>
  <si>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</si>
  <si>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</si>
  <si>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</si>
  <si>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</si>
  <si>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</si>
  <si>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</si>
  <si>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</si>
  <si>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</si>
  <si>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</si>
  <si>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</si>
  <si>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</si>
  <si>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</si>
  <si>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</si>
  <si>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</si>
  <si>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</si>
  <si>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</si>
  <si>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</si>
  <si>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</si>
  <si>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</si>
  <si>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</si>
  <si>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</si>
  <si>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</si>
  <si>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</si>
  <si>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</si>
  <si>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</si>
  <si>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</si>
  <si>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</si>
  <si>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</si>
  <si>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</si>
  <si>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</si>
  <si>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</si>
  <si>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</si>
  <si>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</si>
  <si>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</si>
  <si>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</si>
  <si>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</si>
  <si>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</si>
  <si>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</si>
  <si>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</si>
  <si>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</si>
  <si>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</si>
  <si>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</si>
  <si>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</si>
  <si>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</si>
  <si>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</si>
  <si>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</si>
  <si>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</si>
  <si>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</si>
  <si>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</si>
  <si>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</si>
  <si>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</si>
  <si>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</si>
  <si>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</si>
  <si>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</si>
  <si>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</si>
  <si>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</si>
  <si>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</si>
  <si>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</si>
  <si>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</si>
  <si>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</si>
  <si>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</si>
  <si>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</si>
  <si>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</si>
  <si>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</si>
  <si>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</si>
  <si>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</si>
  <si>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</si>
  <si>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</si>
  <si>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</si>
  <si>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</si>
  <si>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</si>
  <si>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</si>
  <si>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</si>
  <si>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</si>
  <si>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</si>
  <si>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</si>
  <si>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</si>
  <si>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</si>
  <si>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</si>
  <si>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</si>
  <si>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</si>
  <si>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</si>
  <si>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</si>
  <si>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</si>
  <si>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</si>
  <si>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</si>
  <si>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</si>
  <si>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</si>
  <si>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</si>
  <si>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</si>
  <si>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</si>
  <si>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</si>
  <si>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</si>
  <si>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</si>
  <si>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</si>
  <si>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</si>
  <si>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</si>
  <si>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</si>
  <si>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</si>
  <si>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</si>
  <si>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</si>
  <si>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</si>
  <si>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</si>
  <si>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</si>
  <si>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</si>
  <si>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</si>
  <si>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</si>
  <si>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</si>
  <si>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</si>
  <si>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</si>
  <si>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</si>
  <si>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</si>
  <si>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</si>
  <si>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</si>
  <si>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</si>
  <si>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</si>
  <si>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</si>
  <si>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</si>
  <si>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</si>
  <si>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</si>
  <si>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</si>
  <si>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</si>
  <si>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</si>
  <si>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</si>
  <si>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</si>
  <si>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</si>
  <si>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</si>
  <si>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</si>
  <si>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</si>
  <si>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</si>
  <si>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</si>
  <si>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</si>
  <si>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</si>
  <si>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</si>
  <si>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</si>
  <si>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</si>
  <si>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</si>
  <si>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</si>
  <si>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</si>
  <si>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</si>
  <si>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</si>
  <si>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</si>
  <si>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</si>
  <si>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</si>
  <si>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</si>
  <si>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</si>
  <si>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</si>
  <si>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</si>
  <si>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</si>
  <si>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</si>
  <si>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</si>
  <si>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</si>
  <si>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</si>
  <si>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</si>
  <si>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</si>
  <si>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</si>
  <si>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</si>
  <si>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</si>
  <si>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</si>
  <si>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</si>
  <si>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</si>
  <si>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</si>
  <si>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</si>
  <si>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</si>
  <si>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</si>
  <si>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</si>
  <si>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</si>
  <si>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</si>
  <si>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</si>
  <si>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</si>
  <si>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</si>
  <si>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</si>
  <si>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</si>
  <si>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</si>
  <si>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</si>
  <si>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</si>
  <si>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</si>
  <si>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</si>
  <si>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</si>
  <si>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</si>
  <si>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</si>
  <si>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</si>
  <si>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</si>
  <si>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</si>
  <si>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</si>
  <si>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</si>
  <si>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</si>
  <si>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</si>
  <si>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</si>
  <si>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</si>
  <si>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</si>
  <si>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</si>
  <si>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</si>
  <si>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</si>
  <si>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</si>
  <si>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</si>
  <si>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</si>
  <si>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</si>
  <si>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</si>
  <si>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</si>
  <si>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</si>
  <si>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</si>
  <si>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</si>
  <si>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</si>
  <si>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</si>
  <si>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</si>
  <si>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</si>
  <si>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</si>
  <si>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</si>
  <si>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</si>
  <si>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</si>
  <si>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</si>
  <si>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</si>
  <si>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</si>
  <si>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</si>
  <si>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</si>
  <si>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</si>
  <si>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</si>
  <si>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</si>
  <si>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</si>
  <si>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</si>
  <si>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</si>
  <si>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</si>
  <si>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</si>
  <si>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</si>
  <si>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</si>
  <si>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</si>
  <si>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</si>
  <si>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</si>
  <si>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</si>
  <si>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</si>
  <si>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</si>
  <si>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</si>
  <si>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</si>
  <si>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</si>
  <si>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</si>
  <si>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</si>
  <si>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</si>
  <si>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</si>
  <si>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</si>
  <si>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</si>
  <si>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</si>
  <si>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</si>
  <si>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</si>
  <si>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</si>
  <si>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</si>
  <si>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</si>
  <si>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</si>
  <si>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</si>
  <si>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</si>
  <si>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</si>
  <si>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</si>
  <si>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</si>
  <si>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</si>
  <si>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</si>
  <si>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</si>
  <si>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</si>
  <si>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</si>
  <si>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</si>
  <si>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</si>
  <si>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</si>
  <si>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</si>
  <si>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</si>
  <si>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</si>
  <si>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</si>
  <si>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</si>
  <si>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</si>
  <si>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</si>
  <si>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</si>
  <si>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</si>
  <si>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</si>
  <si>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</si>
  <si>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</si>
  <si>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</si>
  <si>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</si>
  <si>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</si>
  <si>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</si>
  <si>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</si>
  <si>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</si>
  <si>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</si>
  <si>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</si>
  <si>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</si>
  <si>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</si>
  <si>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</si>
  <si>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</si>
  <si>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</si>
  <si>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</si>
  <si>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</si>
  <si>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</si>
  <si>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</si>
  <si>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</si>
  <si>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</si>
  <si>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</si>
  <si>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</si>
  <si>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</si>
  <si>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</si>
  <si>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</si>
  <si>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</si>
  <si>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</si>
  <si>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</si>
  <si>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</si>
  <si>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</si>
  <si>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</si>
  <si>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</si>
  <si>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</si>
  <si>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</si>
  <si>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</si>
  <si>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</si>
  <si>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</si>
  <si>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</si>
  <si>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</si>
  <si>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</si>
  <si>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</si>
  <si>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</si>
  <si>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</si>
  <si>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</si>
  <si>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</si>
  <si>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</si>
  <si>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</si>
  <si>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</si>
  <si>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</si>
  <si>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</si>
  <si>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</si>
  <si>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</si>
  <si>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</si>
  <si>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</si>
  <si>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</si>
  <si>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</si>
  <si>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</si>
  <si>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</si>
  <si>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</si>
  <si>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</si>
  <si>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</si>
  <si>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</si>
  <si>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</si>
  <si>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</si>
  <si>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</si>
  <si>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</si>
  <si>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</si>
  <si>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</si>
  <si>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</si>
  <si>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</si>
  <si>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</si>
  <si>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</si>
  <si>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</si>
  <si>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</si>
  <si>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</si>
  <si>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</si>
  <si>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</si>
  <si>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</si>
  <si>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</si>
  <si>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</si>
  <si>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</si>
  <si>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</si>
  <si>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</si>
  <si>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</si>
  <si>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</si>
  <si>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</si>
  <si>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</si>
  <si>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</si>
  <si>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</si>
  <si>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</si>
  <si>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</si>
  <si>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</si>
  <si>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</si>
  <si>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</si>
  <si>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</si>
  <si>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</si>
  <si>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</si>
  <si>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</si>
  <si>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</si>
  <si>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</si>
  <si>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</si>
  <si>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</si>
  <si>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</si>
  <si>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</si>
  <si>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</si>
  <si>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</si>
  <si>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</si>
  <si>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</si>
  <si>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</si>
  <si>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</si>
  <si>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</si>
  <si>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</si>
  <si>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</si>
  <si>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</si>
  <si>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</si>
  <si>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</si>
  <si>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</si>
  <si>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</si>
  <si>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</si>
  <si>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</si>
  <si>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</si>
  <si>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</si>
  <si>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</si>
  <si>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</si>
  <si>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</si>
  <si>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</si>
  <si>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</si>
  <si>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</si>
  <si>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</si>
  <si>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</si>
  <si>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</si>
  <si>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</si>
  <si>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</si>
  <si>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</si>
  <si>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</si>
  <si>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</si>
  <si>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</si>
  <si>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</si>
  <si>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</si>
  <si>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</si>
  <si>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</si>
  <si>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</si>
  <si>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</si>
  <si>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</si>
  <si>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</si>
  <si>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</si>
  <si>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</si>
  <si>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</si>
  <si>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</si>
  <si>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</si>
  <si>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</si>
  <si>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</si>
  <si>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</si>
  <si>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</si>
  <si>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</si>
  <si>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</si>
  <si>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</si>
  <si>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</si>
  <si>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</si>
  <si>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</si>
  <si>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</si>
  <si>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</si>
  <si>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</si>
  <si>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</si>
  <si>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</si>
  <si>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</si>
  <si>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</si>
  <si>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</si>
  <si>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</si>
  <si>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</si>
  <si>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</si>
  <si>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</si>
  <si>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</si>
  <si>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</si>
  <si>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</si>
  <si>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</si>
  <si>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</si>
  <si>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</si>
  <si>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</si>
  <si>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</si>
  <si>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</si>
  <si>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</si>
  <si>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</si>
  <si>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</si>
  <si>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</si>
  <si>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</si>
  <si>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</si>
  <si>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</si>
  <si>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</si>
  <si>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</si>
  <si>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</si>
  <si>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</si>
  <si>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</si>
  <si>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</si>
  <si>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</si>
  <si>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</si>
  <si>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</si>
  <si>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</si>
  <si>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</si>
  <si>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</si>
  <si>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</si>
  <si>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</si>
  <si>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</si>
  <si>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</si>
  <si>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</si>
  <si>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</si>
  <si>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</si>
  <si>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</si>
  <si>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</si>
  <si>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</si>
  <si>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</si>
  <si>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</si>
  <si>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</si>
  <si>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</si>
  <si>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</si>
  <si>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</si>
  <si>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</si>
  <si>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</si>
  <si>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</si>
  <si>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</si>
  <si>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</si>
  <si>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</si>
  <si>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</si>
  <si>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</si>
  <si>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</si>
  <si>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</si>
  <si>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</si>
  <si>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</si>
  <si>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</si>
  <si>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</si>
  <si>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</si>
  <si>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</si>
  <si>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</si>
  <si>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</si>
  <si>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</si>
  <si>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</si>
  <si>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</si>
  <si>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</si>
  <si>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</si>
  <si>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</si>
  <si>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</si>
  <si>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</si>
  <si>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</si>
  <si>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</si>
  <si>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</si>
  <si>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</si>
  <si>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</si>
  <si>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</si>
  <si>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</si>
  <si>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</si>
  <si>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</si>
  <si>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</si>
  <si>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</si>
  <si>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</si>
  <si>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</si>
  <si>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</si>
  <si>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</si>
  <si>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</si>
  <si>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</si>
  <si>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</si>
  <si>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</si>
  <si>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</si>
  <si>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</si>
  <si>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</si>
  <si>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</si>
  <si>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</si>
  <si>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</si>
  <si>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</si>
  <si>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</si>
  <si>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</si>
  <si>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</si>
  <si>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</si>
  <si>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</si>
  <si>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</si>
  <si>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</si>
  <si>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</si>
  <si>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</si>
  <si>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</si>
  <si>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</si>
  <si>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</si>
  <si>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</si>
  <si>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</si>
  <si>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</si>
  <si>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</si>
  <si>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</si>
  <si>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</si>
  <si>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</si>
  <si>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</si>
  <si>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</si>
  <si>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</si>
  <si>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</si>
  <si>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</si>
  <si>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</si>
  <si>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</si>
  <si>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</si>
  <si>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</si>
  <si>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</si>
  <si>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</si>
  <si>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</si>
  <si>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</si>
  <si>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</si>
  <si>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</si>
  <si>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</si>
  <si>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</si>
  <si>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</si>
  <si>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</si>
  <si>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</si>
  <si>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</si>
  <si>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</si>
  <si>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</si>
  <si>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</si>
  <si>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</si>
  <si>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</si>
  <si>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</si>
  <si>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</si>
  <si>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</si>
  <si>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</si>
  <si>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</si>
  <si>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</si>
  <si>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</si>
  <si>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</si>
  <si>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</si>
  <si>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</si>
  <si>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</si>
  <si>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</si>
  <si>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</si>
  <si>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</si>
  <si>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</si>
  <si>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</si>
  <si>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</si>
  <si>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</si>
  <si>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</si>
  <si>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</si>
  <si>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</si>
  <si>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</si>
  <si>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</si>
  <si>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</si>
  <si>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</si>
  <si>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</si>
  <si>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</si>
  <si>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</si>
  <si>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</si>
  <si>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</si>
  <si>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</si>
  <si>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</si>
  <si>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</si>
  <si>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</si>
  <si>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</si>
  <si>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</si>
  <si>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</si>
  <si>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</si>
  <si>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</si>
  <si>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</si>
  <si>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</si>
  <si>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</si>
  <si>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</si>
  <si>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</si>
  <si>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</si>
  <si>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</si>
  <si>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</si>
  <si>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</si>
  <si>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</si>
  <si>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</si>
  <si>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</si>
  <si>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</si>
  <si>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</si>
  <si>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</si>
  <si>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</si>
  <si>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</si>
  <si>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</si>
  <si>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</si>
  <si>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</si>
  <si>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</si>
  <si>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</si>
  <si>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</si>
  <si>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</si>
  <si>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</si>
  <si>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</si>
  <si>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</si>
  <si>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</si>
  <si>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</si>
  <si>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</si>
  <si>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</si>
  <si>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</si>
  <si>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</si>
  <si>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</si>
  <si>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</si>
  <si>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</si>
  <si>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</si>
  <si>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</si>
  <si>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</si>
  <si>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</si>
  <si>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</si>
  <si>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</si>
  <si>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</si>
  <si>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</si>
  <si>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</si>
  <si>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</si>
  <si>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</si>
  <si>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</si>
  <si>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</si>
  <si>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</si>
  <si>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</si>
  <si>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</si>
  <si>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</si>
  <si>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</si>
  <si>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</si>
  <si>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</si>
  <si>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</si>
  <si>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</si>
  <si>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</si>
  <si>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</si>
  <si>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</si>
  <si>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</si>
  <si>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</si>
  <si>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</si>
  <si>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</si>
  <si>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</si>
  <si>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</si>
  <si>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</si>
  <si>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</si>
  <si>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</si>
  <si>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</si>
  <si>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</si>
  <si>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</si>
  <si>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</si>
  <si>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</si>
  <si>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</si>
  <si>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</si>
  <si>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</si>
  <si>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</si>
  <si>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</si>
  <si>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</si>
  <si>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</si>
  <si>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</si>
  <si>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</si>
  <si>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</si>
  <si>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</si>
  <si>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</si>
  <si>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</si>
  <si>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</si>
  <si>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</si>
  <si>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</si>
  <si>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</si>
  <si>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</si>
  <si>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</si>
  <si>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</si>
  <si>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</si>
  <si>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</si>
  <si>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</si>
  <si>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</si>
  <si>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</si>
  <si>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</si>
  <si>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</si>
  <si>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</si>
  <si>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</si>
  <si>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</si>
  <si>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</si>
  <si>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</si>
  <si>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</si>
  <si>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</si>
  <si>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</si>
  <si>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</si>
  <si>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</si>
  <si>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</si>
  <si>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</si>
  <si>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</si>
  <si>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</si>
  <si>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</si>
  <si>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</si>
  <si>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</si>
  <si>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</si>
  <si>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</si>
  <si>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</si>
  <si>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</si>
  <si>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</si>
  <si>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</si>
  <si>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</si>
  <si>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</si>
  <si>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</si>
  <si>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</si>
  <si>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</si>
  <si>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</si>
  <si>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</si>
  <si>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</si>
  <si>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</si>
  <si>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</si>
  <si>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</si>
  <si>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</si>
  <si>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</si>
  <si>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</si>
  <si>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</si>
  <si>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</si>
  <si>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</si>
  <si>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</si>
  <si>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</si>
  <si>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</si>
  <si>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</si>
  <si>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</si>
  <si>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</si>
  <si>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</si>
  <si>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</si>
  <si>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</si>
  <si>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</si>
  <si>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</si>
  <si>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</si>
  <si>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</si>
  <si>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</si>
  <si>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</si>
  <si>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</si>
  <si>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</si>
  <si>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</si>
  <si>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</si>
  <si>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</si>
  <si>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</si>
  <si>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</si>
  <si>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</si>
  <si>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</si>
  <si>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</si>
  <si>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</si>
  <si>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</si>
  <si>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</si>
  <si>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</si>
  <si>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</si>
  <si>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</si>
  <si>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</si>
  <si>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</si>
  <si>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</si>
  <si>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</si>
  <si>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</si>
  <si>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</si>
  <si>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</si>
  <si>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</si>
  <si>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</si>
  <si>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</si>
  <si>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</si>
  <si>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</si>
  <si>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</si>
  <si>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</si>
  <si>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</si>
  <si>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</si>
  <si>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</si>
  <si>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</si>
  <si>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</si>
  <si>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</si>
  <si>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</si>
  <si>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</si>
  <si>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</si>
  <si>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</si>
  <si>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</si>
  <si>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</si>
  <si>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</si>
  <si>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</si>
  <si>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</si>
  <si>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</si>
  <si>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</si>
  <si>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</si>
  <si>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</si>
  <si>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</si>
  <si>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</si>
  <si>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</si>
  <si>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</si>
  <si>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</si>
  <si>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</si>
  <si>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</si>
  <si>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</si>
  <si>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</si>
  <si>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</si>
  <si>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</si>
  <si>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</si>
  <si>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</si>
  <si>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</si>
  <si>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</si>
  <si>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</si>
  <si>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</si>
  <si>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</si>
  <si>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</si>
  <si>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</si>
  <si>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</si>
  <si>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</si>
  <si>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</si>
  <si>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</si>
  <si>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</si>
  <si>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</si>
  <si>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</si>
  <si>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</si>
  <si>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</si>
  <si>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</si>
  <si>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</si>
  <si>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</si>
  <si>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</si>
  <si>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</si>
  <si>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</si>
  <si>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</si>
  <si>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</si>
  <si>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</si>
  <si>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</si>
  <si>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</si>
  <si>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</si>
  <si>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</si>
  <si>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</si>
  <si>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</si>
  <si>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</si>
  <si>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</si>
  <si>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</si>
  <si>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</si>
  <si>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</si>
  <si>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</si>
  <si>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</si>
  <si>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</si>
  <si>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</si>
  <si>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</si>
  <si>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</si>
  <si>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</si>
  <si>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</si>
  <si>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</si>
  <si>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</si>
  <si>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</si>
  <si>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</si>
  <si>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</si>
  <si>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</si>
  <si>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</si>
  <si>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</si>
  <si>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</si>
  <si>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</si>
  <si>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</si>
  <si>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</si>
  <si>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</si>
  <si>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</si>
  <si>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</si>
  <si>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</si>
  <si>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</si>
  <si>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</si>
  <si>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</si>
  <si>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</si>
  <si>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</si>
  <si>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</si>
  <si>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</si>
  <si>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</si>
  <si>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</si>
  <si>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</si>
  <si>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</si>
  <si>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</si>
  <si>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</si>
  <si>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</si>
  <si>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</si>
  <si>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</si>
  <si>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</si>
  <si>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</si>
  <si>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</si>
  <si>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</si>
  <si>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</si>
  <si>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</si>
  <si>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</si>
  <si>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</si>
  <si>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</si>
  <si>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</si>
  <si>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</si>
  <si>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</si>
  <si>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</si>
  <si>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</si>
  <si>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</si>
  <si>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</si>
  <si>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</si>
  <si>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</si>
  <si>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</si>
  <si>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</si>
  <si>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</si>
  <si>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</si>
  <si>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</si>
  <si>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</si>
  <si>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</si>
  <si>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</si>
  <si>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</si>
  <si>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</si>
  <si>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</si>
  <si>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</si>
  <si>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</si>
  <si>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</si>
  <si>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</si>
  <si>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</si>
  <si>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</si>
  <si>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</si>
  <si>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</si>
  <si>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</si>
  <si>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</si>
  <si>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</si>
  <si>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</si>
  <si>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</si>
  <si>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</si>
  <si>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</si>
  <si>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</si>
  <si>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</si>
  <si>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</si>
  <si>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</si>
  <si>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</si>
  <si>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</si>
  <si>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</si>
  <si>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</si>
  <si>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</si>
  <si>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</si>
  <si>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</si>
  <si>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</si>
  <si>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</si>
  <si>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</si>
  <si>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</si>
  <si>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</si>
  <si>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</si>
  <si>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</si>
  <si>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</si>
  <si>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</si>
  <si>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</si>
  <si>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</si>
  <si>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</si>
  <si>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</si>
  <si>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</si>
  <si>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</si>
  <si>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</si>
  <si>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</si>
  <si>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</si>
  <si>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</si>
  <si>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</si>
  <si>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</si>
  <si>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</si>
  <si>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</si>
  <si>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</si>
  <si>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</si>
  <si>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</si>
  <si>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</si>
  <si>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</si>
  <si>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</si>
  <si>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</si>
  <si>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</si>
  <si>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</si>
  <si>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</si>
  <si>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</si>
  <si>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</si>
  <si>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</si>
  <si>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</si>
  <si>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</si>
  <si>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</si>
  <si>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</si>
  <si>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</si>
  <si>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</si>
  <si>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</si>
  <si>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</si>
  <si>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</si>
  <si>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</si>
  <si>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</si>
  <si>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</si>
  <si>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</si>
  <si>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</si>
  <si>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</si>
  <si>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</si>
  <si>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</si>
  <si>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</si>
  <si>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</si>
  <si>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</si>
  <si>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</si>
  <si>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</si>
  <si>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</si>
  <si>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</si>
  <si>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</si>
  <si>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</si>
  <si>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</si>
  <si>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</si>
  <si>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</si>
  <si>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</si>
  <si>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</si>
  <si>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</si>
  <si>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</si>
  <si>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</si>
  <si>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</si>
  <si>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</si>
  <si>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</si>
  <si>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</si>
  <si>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</si>
  <si>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</si>
  <si>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</si>
  <si>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</si>
  <si>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</si>
  <si>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</si>
  <si>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</si>
  <si>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</si>
  <si>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</si>
  <si>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</si>
  <si>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</si>
  <si>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</si>
  <si>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</si>
  <si>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</si>
  <si>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</si>
  <si>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</si>
  <si>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</si>
  <si>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</si>
  <si>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</si>
  <si>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</si>
  <si>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</si>
  <si>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</si>
  <si>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</si>
  <si>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</si>
  <si>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</si>
  <si>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</si>
  <si>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</si>
  <si>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</si>
  <si>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</si>
  <si>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</si>
  <si>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</si>
  <si>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</si>
  <si>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</si>
  <si>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</si>
  <si>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</si>
  <si>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</si>
  <si>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</si>
  <si>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</si>
  <si>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</si>
  <si>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</si>
  <si>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</si>
  <si>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</si>
  <si>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</si>
  <si>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</si>
  <si>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</si>
  <si>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</si>
  <si>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</si>
  <si>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</si>
  <si>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</si>
  <si>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</si>
  <si>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</si>
  <si>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</si>
  <si>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</si>
  <si>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</si>
  <si>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</si>
  <si>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</si>
  <si>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</si>
  <si>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</si>
  <si>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</si>
  <si>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</si>
  <si>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</si>
  <si>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</si>
  <si>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</si>
  <si>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</si>
  <si>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</si>
  <si>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</si>
  <si>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</si>
  <si>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</si>
  <si>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</si>
  <si>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</si>
  <si>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</si>
  <si>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</si>
  <si>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</si>
  <si>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</si>
  <si>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</si>
  <si>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</si>
  <si>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</si>
  <si>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</si>
  <si>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</si>
  <si>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</si>
  <si>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</si>
  <si>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</si>
  <si>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</si>
  <si>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</si>
  <si>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</si>
  <si>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</si>
  <si>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</si>
  <si>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</si>
  <si>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</si>
  <si>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</si>
  <si>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</si>
  <si>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</si>
  <si>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</si>
  <si>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</si>
  <si>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</si>
  <si>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</si>
  <si>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</si>
  <si>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</si>
  <si>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</si>
  <si>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</si>
  <si>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</si>
  <si>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</si>
  <si>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</si>
  <si>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</si>
  <si>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</si>
  <si>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</si>
  <si>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</si>
  <si>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</si>
  <si>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</si>
  <si>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</si>
  <si>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</si>
  <si>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</si>
  <si>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</si>
  <si>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</si>
  <si>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</si>
  <si>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</si>
  <si>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</si>
  <si>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</si>
  <si>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</si>
  <si>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</si>
  <si>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</si>
  <si>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</si>
  <si>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</si>
  <si>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</si>
  <si>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</si>
  <si>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</si>
  <si>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</si>
  <si>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</si>
  <si>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</si>
  <si>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</si>
  <si>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</si>
  <si>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</si>
  <si>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</si>
  <si>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</si>
  <si>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</si>
  <si>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</si>
  <si>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</si>
  <si>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</si>
  <si>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</si>
  <si>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</si>
  <si>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</si>
  <si>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</si>
  <si>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</si>
  <si>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</si>
  <si>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</si>
  <si>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</si>
  <si>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</si>
  <si>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</si>
  <si>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</si>
  <si>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</si>
  <si>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</si>
  <si>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</si>
  <si>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</si>
  <si>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</si>
  <si>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</si>
  <si>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</si>
  <si>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</si>
  <si>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</si>
  <si>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</si>
  <si>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</si>
  <si>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</si>
  <si>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</si>
  <si>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</si>
  <si>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</si>
  <si>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</si>
  <si>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</si>
  <si>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</si>
  <si>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</si>
  <si>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</si>
  <si>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</si>
  <si>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</si>
  <si>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</si>
  <si>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</si>
  <si>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</si>
  <si>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</si>
  <si>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</si>
  <si>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</si>
  <si>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</si>
  <si>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</si>
  <si>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</si>
  <si>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</si>
  <si>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</si>
  <si>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</si>
  <si>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</si>
  <si>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</si>
  <si>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</si>
  <si>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</si>
  <si>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</si>
  <si>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</si>
  <si>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</si>
  <si>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</si>
  <si>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</si>
  <si>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</si>
  <si>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</si>
  <si>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</si>
  <si>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</si>
  <si>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</si>
  <si>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</si>
  <si>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</si>
  <si>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</si>
  <si>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</si>
  <si>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</si>
  <si>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</si>
  <si>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</si>
  <si>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</si>
  <si>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</si>
  <si>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</si>
  <si>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</si>
  <si>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</si>
  <si>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</si>
  <si>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</si>
  <si>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</si>
  <si>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</si>
  <si>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</si>
  <si>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</si>
  <si>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</si>
  <si>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</si>
  <si>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</si>
  <si>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</si>
  <si>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</si>
  <si>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</si>
  <si>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</si>
  <si>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</si>
  <si>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</si>
  <si>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</si>
  <si>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</si>
  <si>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</si>
  <si>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</si>
  <si>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</si>
  <si>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</si>
  <si>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</si>
  <si>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</si>
  <si>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</si>
  <si>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</si>
  <si>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</si>
  <si>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</si>
  <si>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</si>
  <si>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</si>
  <si>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</si>
  <si>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</si>
  <si>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</si>
  <si>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</si>
  <si>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</si>
  <si>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</si>
  <si>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</si>
  <si>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</si>
  <si>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</si>
  <si>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</si>
  <si>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</si>
  <si>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</si>
  <si>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</si>
  <si>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</si>
  <si>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</si>
  <si>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</si>
  <si>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</si>
  <si>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</si>
  <si>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</si>
  <si>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</si>
  <si>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</si>
  <si>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</si>
  <si>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</si>
  <si>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</si>
  <si>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</si>
  <si>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</si>
  <si>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</si>
  <si>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</si>
  <si>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</si>
  <si>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</si>
  <si>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</si>
  <si>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</si>
  <si>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</si>
  <si>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</si>
  <si>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</si>
  <si>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</si>
  <si>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</si>
  <si>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</si>
  <si>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</si>
  <si>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</si>
  <si>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</si>
  <si>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</si>
  <si>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</si>
  <si>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</si>
  <si>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</si>
  <si>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</si>
  <si>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</si>
  <si>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</si>
  <si>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</si>
  <si>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</si>
  <si>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</si>
  <si>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</si>
  <si>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</si>
  <si>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</si>
  <si>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</si>
  <si>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</si>
  <si>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</si>
  <si>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</si>
  <si>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</si>
  <si>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</si>
  <si>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</si>
  <si>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</si>
  <si>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</si>
  <si>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</si>
  <si>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</si>
  <si>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</si>
  <si>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</si>
  <si>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</si>
  <si>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</si>
  <si>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</si>
  <si>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</si>
  <si>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</si>
  <si>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</si>
  <si>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</si>
  <si>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</si>
  <si>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</si>
  <si>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</si>
  <si>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</si>
  <si>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</si>
  <si>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</si>
  <si>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</si>
  <si>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</si>
  <si>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</si>
  <si>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</si>
  <si>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</si>
  <si>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</si>
  <si>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</si>
  <si>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</si>
  <si>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</si>
  <si>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</si>
  <si>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</si>
  <si>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</si>
  <si>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</si>
  <si>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</si>
  <si>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</si>
  <si>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</si>
  <si>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</si>
  <si>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</si>
  <si>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</si>
  <si>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</si>
  <si>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</si>
  <si>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</si>
  <si>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</si>
  <si>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</si>
  <si>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</si>
  <si>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</si>
  <si>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</si>
  <si>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</si>
  <si>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</si>
  <si>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</si>
  <si>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</si>
  <si>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</si>
  <si>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</si>
  <si>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</si>
  <si>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</si>
  <si>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</si>
  <si>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</si>
  <si>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</si>
  <si>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</si>
  <si>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</si>
  <si>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</si>
  <si>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</si>
  <si>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</si>
  <si>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</si>
  <si>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</si>
  <si>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</si>
  <si>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</si>
  <si>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</si>
  <si>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</si>
  <si>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</si>
  <si>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</si>
  <si>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</si>
  <si>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</si>
  <si>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</si>
  <si>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</si>
  <si>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</si>
  <si>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</si>
  <si>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</si>
  <si>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</si>
  <si>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</si>
  <si>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</si>
  <si>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</si>
  <si>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</si>
  <si>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</si>
  <si>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</si>
  <si>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</si>
  <si>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</si>
  <si>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</si>
  <si>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</si>
  <si>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</si>
  <si>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</si>
  <si>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</si>
  <si>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</si>
  <si>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</si>
  <si>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</si>
  <si>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</si>
  <si>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</si>
  <si>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</si>
  <si>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</si>
  <si>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</si>
  <si>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</si>
  <si>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</si>
  <si>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</si>
  <si>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</si>
  <si>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</si>
  <si>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</si>
  <si>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</si>
  <si>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</si>
  <si>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</si>
  <si>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</si>
  <si>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</si>
  <si>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</si>
  <si>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</si>
  <si>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</si>
  <si>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</si>
  <si>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</si>
  <si>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</si>
  <si>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</si>
  <si>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</si>
  <si>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</si>
  <si>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</si>
  <si>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</si>
  <si>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</si>
  <si>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</si>
  <si>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</si>
  <si>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</si>
  <si>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</si>
  <si>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</si>
  <si>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</si>
  <si>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</si>
  <si>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</si>
  <si>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</si>
  <si>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</si>
  <si>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</si>
  <si>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</si>
  <si>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</si>
  <si>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</si>
  <si>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</si>
  <si>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</si>
  <si>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</si>
  <si>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</si>
  <si>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</si>
  <si>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</si>
  <si>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</si>
  <si>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</si>
  <si>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</si>
  <si>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</si>
  <si>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</si>
  <si>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</si>
  <si>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</si>
  <si>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</si>
  <si>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</si>
  <si>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</si>
  <si>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</si>
  <si>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</si>
  <si>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</si>
  <si>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</si>
  <si>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</si>
  <si>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</si>
  <si>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</si>
  <si>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</si>
  <si>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</si>
  <si>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</si>
  <si>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</si>
  <si>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</si>
  <si>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</si>
  <si>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</si>
  <si>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</si>
  <si>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</si>
  <si>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</si>
  <si>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</si>
  <si>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</si>
  <si>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</si>
  <si>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</si>
  <si>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</si>
  <si>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</si>
  <si>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</si>
  <si>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</si>
  <si>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</si>
  <si>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</si>
  <si>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</si>
  <si>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</si>
  <si>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</si>
  <si>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</si>
  <si>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</si>
  <si>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</si>
  <si>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</si>
  <si>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</si>
  <si>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</si>
  <si>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</si>
  <si>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</si>
  <si>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</si>
  <si>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</si>
  <si>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</si>
  <si>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</si>
  <si>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</si>
  <si>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</si>
  <si>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</si>
  <si>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</si>
  <si>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</si>
  <si>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</si>
  <si>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</si>
  <si>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</si>
  <si>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</si>
  <si>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</si>
  <si>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</si>
  <si>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</si>
  <si>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</si>
  <si>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</si>
  <si>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</si>
  <si>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</si>
  <si>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</si>
  <si>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</si>
  <si>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</si>
  <si>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</si>
  <si>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</si>
  <si>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</si>
  <si>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</si>
  <si>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</si>
  <si>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</si>
  <si>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</si>
  <si>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</si>
  <si>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</si>
  <si>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</si>
  <si>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</si>
  <si>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</si>
  <si>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</si>
  <si>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</si>
  <si>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</si>
  <si>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</si>
  <si>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</si>
  <si>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</si>
  <si>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Merrimack SAU26</t>
  </si>
  <si>
    <t>Trust Admin Feees</t>
  </si>
  <si>
    <t>2/01</t>
  </si>
  <si>
    <t>2/04</t>
  </si>
  <si>
    <t>8/20</t>
  </si>
  <si>
    <t>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</si>
</sst>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4" fillId="0" borderId="3" xfId="0" applyNumberFormat="1" applyFont="1" applyBorder="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351</v>
      </c>
      <c r="C2" s="21">
        <v>351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7379217.6399999997</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f>16908.65+165.43</f>
        <v>17074.080000000002</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1644599.16+604.15</f>
        <v>1645203.3099999998</v>
      </c>
      <c r="G12" s="18"/>
      <c r="H12" s="18"/>
      <c r="I12" s="18"/>
      <c r="J12" s="67">
        <f>SUM(I442)</f>
        <v>1132958</v>
      </c>
      <c r="K12" s="24" t="s">
        <v>288</v>
      </c>
      <c r="L12" s="24" t="s">
        <v>288</v>
      </c>
      <c r="M12" s="8"/>
      <c r="N12" s="264"/>
    </row>
    <row r="13" spans="1:14" s="3" customFormat="1" ht="12.2" customHeight="1" x14ac:dyDescent="0.15">
      <c r="A13" s="1" t="s">
        <v>604</v>
      </c>
      <c r="B13" s="2" t="s">
        <v>289</v>
      </c>
      <c r="C13" s="6">
        <v>5</v>
      </c>
      <c r="D13" s="2" t="s">
        <v>428</v>
      </c>
      <c r="E13" s="6">
        <v>140</v>
      </c>
      <c r="F13" s="18">
        <v>15457.32</v>
      </c>
      <c r="G13" s="18"/>
      <c r="H13" s="18">
        <v>1628505.88</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v>37208</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48155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9056952.3499999996</v>
      </c>
      <c r="G19" s="41">
        <f>SUM(G9:G18)</f>
        <v>85363</v>
      </c>
      <c r="H19" s="41">
        <f>SUM(H9:H18)</f>
        <v>1628505.88</v>
      </c>
      <c r="I19" s="41">
        <f>SUM(I9:I18)</f>
        <v>0</v>
      </c>
      <c r="J19" s="41">
        <f>SUM(J9:J18)</f>
        <v>1132958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24315</v>
      </c>
      <c r="H22" s="18">
        <v>1592372</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96296.87</v>
      </c>
      <c r="G24" s="18"/>
      <c r="H24" s="18">
        <v>28188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61048</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96296.87</v>
      </c>
      <c r="G32" s="41">
        <f>SUM(G22:G31)</f>
        <v>85363</v>
      </c>
      <c r="H32" s="41">
        <f>SUM(H22:H31)</f>
        <v>1620560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f>21839.07+165.43+16907.65</f>
        <v>38912.15</v>
      </c>
      <c r="G48" s="18"/>
      <c r="H48" s="18">
        <v>7945.88</v>
      </c>
      <c r="I48" s="18"/>
      <c r="J48" s="13">
        <f>SUM(I460)</f>
        <v>1132958</v>
      </c>
      <c r="K48" s="24" t="s">
        <v>288</v>
      </c>
      <c r="L48" s="24" t="s">
        <v>288</v>
      </c>
      <c r="M48" s="8"/>
      <c r="N48" s="264"/>
    </row>
    <row r="49" spans="1:14" s="3" customFormat="1" ht="12.2" customHeight="1" x14ac:dyDescent="0.15">
      <c r="A49" s="1" t="s">
        <v>859</v>
      </c>
      <c r="B49" s="2" t="s">
        <v>289</v>
      </c>
      <c r="C49" s="6">
        <v>34</v>
      </c>
      <c r="D49" s="2"/>
      <c r="E49" s="6">
        <v>753</v>
      </c>
      <c r="F49" s="18">
        <v>758673.32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8163070.0099999998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8960655.4800000004</v>
      </c>
      <c r="G51" s="41">
        <f>SUM(G35:G50)</f>
        <v>0</v>
      </c>
      <c r="H51" s="41">
        <f>SUM(H35:H50)</f>
        <v>7945.88</v>
      </c>
      <c r="I51" s="41">
        <f>SUM(I35:I50)</f>
        <v>0</v>
      </c>
      <c r="J51" s="41">
        <f>SUM(J35:J50)</f>
        <v>1132958</v>
      </c>
      <c r="K51" s="45" t="s">
        <v>288</v>
      </c>
      <c r="L51" s="45" t="s">
        <v>288</v>
      </c>
      <c r="N51" s="262"/>
    </row>
    <row r="52" spans="1:14" s="3" customFormat="1" ht="12.2" customHeight="1" thickTop="1" x14ac:dyDescent="0.15">
      <c r="A52" s="38" t="s">
        <v>455</v>
      </c>
      <c r="B52" s="39" t="s">
        <v>289</v>
      </c>
      <c r="C52" s="6">
        <v>37</v>
      </c>
      <c r="D52" s="39" t="s">
        <v>653</v>
      </c>
      <c r="E52" s="39"/>
      <c r="F52" s="41">
        <f>F51+F32</f>
        <v>9056952.3499999996</v>
      </c>
      <c r="G52" s="41">
        <f>G51+G32</f>
        <v>85363</v>
      </c>
      <c r="H52" s="41">
        <f>H51+H32</f>
        <v>1628505.88</v>
      </c>
      <c r="I52" s="41">
        <f>I51+I32</f>
        <v>0</v>
      </c>
      <c r="J52" s="41">
        <f>J51+J32</f>
        <v>1132958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55645671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55645671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19230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19230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19081</v>
      </c>
      <c r="G96" s="18"/>
      <c r="H96" s="18"/>
      <c r="I96" s="18"/>
      <c r="J96" s="18">
        <v>3043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49939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667084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686165</v>
      </c>
      <c r="G111" s="41">
        <f>SUM(G96:G110)</f>
        <v>49939</v>
      </c>
      <c r="H111" s="41">
        <f>SUM(H96:H110)</f>
        <v>0</v>
      </c>
      <c r="I111" s="41">
        <f>SUM(I96:I110)</f>
        <v>0</v>
      </c>
      <c r="J111" s="41">
        <f>SUM(J96:J110)</f>
        <v>3043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56351066</v>
      </c>
      <c r="G112" s="41">
        <f>G60+G111</f>
        <v>49939</v>
      </c>
      <c r="H112" s="41">
        <f>H60+H79+H94+H111</f>
        <v>0</v>
      </c>
      <c r="I112" s="41">
        <f>I60+I111</f>
        <v>0</v>
      </c>
      <c r="J112" s="41">
        <f>J60+J111</f>
        <v>3043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9001343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7273632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12988.82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16287963.82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321000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923016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10228.719999999999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6354</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15659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52908</v>
      </c>
      <c r="I134" s="24"/>
      <c r="J134" s="24"/>
      <c r="K134" s="24"/>
      <c r="L134" s="24"/>
      <c r="M134" s="8"/>
      <c r="N134" s="264"/>
    </row>
    <row r="135" spans="1:14" s="3" customFormat="1" ht="12.2" customHeight="1" thickBot="1" x14ac:dyDescent="0.2">
      <c r="A135" s="1" t="s">
        <v>501</v>
      </c>
      <c r="B135" s="2" t="s">
        <v>321</v>
      </c>
      <c r="C135" s="6">
        <v>18</v>
      </c>
      <c r="D135" s="2" t="s">
        <v>430</v>
      </c>
      <c r="E135" s="6">
        <v>3290</v>
      </c>
      <c r="F135" s="18">
        <f>232685-12988.82+4534-10228.72</f>
        <v>214001.46</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1468246.18</v>
      </c>
      <c r="G136" s="41">
        <f>SUM(G123:G135)</f>
        <v>15659</v>
      </c>
      <c r="H136" s="41">
        <f>SUM(H123:H135)</f>
        <v>59262</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17756210</v>
      </c>
      <c r="G140" s="41">
        <f>G121+SUM(G136:G137)</f>
        <v>15659</v>
      </c>
      <c r="H140" s="41">
        <f>H121+SUM(H136:H139)</f>
        <v>59262</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v>65953</v>
      </c>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65953</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18391+231607+16480</f>
        <v>266478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75586+55576+58009+70718+4822</f>
        <v>264711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377731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857804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309620</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735600.88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390836+633206</f>
        <v>1024042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309620</v>
      </c>
      <c r="G163" s="41">
        <f>SUM(G150:G162)</f>
        <v>377731</v>
      </c>
      <c r="H163" s="41">
        <f>SUM(H150:H162)</f>
        <v>3148635.88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309620</v>
      </c>
      <c r="G170" s="41">
        <f>G147+G163+SUM(G164:G169)</f>
        <v>443684</v>
      </c>
      <c r="H170" s="41">
        <f>H147+H163+SUM(H164:H169)</f>
        <v>3148635.88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299321</v>
      </c>
      <c r="H180" s="18"/>
      <c r="I180" s="18"/>
      <c r="J180" s="18">
        <v>150000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299321</v>
      </c>
      <c r="H184" s="41">
        <f>SUM(H180:H183)</f>
        <v>0</v>
      </c>
      <c r="I184" s="41">
        <f>SUM(I180:I183)</f>
        <v>0</v>
      </c>
      <c r="J184" s="41">
        <f>SUM(J180:J183)</f>
        <v>150000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299321</v>
      </c>
      <c r="H193" s="41">
        <f>+H184+SUM(H189:H192)</f>
        <v>0</v>
      </c>
      <c r="I193" s="41">
        <f>I178+I184+SUM(I189:I192)</f>
        <v>0</v>
      </c>
      <c r="J193" s="41">
        <f>J184</f>
        <v>150000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74416896</v>
      </c>
      <c r="G194" s="47">
        <f>G112+G140+G170+G193</f>
        <v>808603</v>
      </c>
      <c r="H194" s="47">
        <f>H112+H140+H170+H193</f>
        <v>3207897.88</v>
      </c>
      <c r="I194" s="47">
        <f>I112+I140+I170+I193</f>
        <v>0</v>
      </c>
      <c r="J194" s="47">
        <f>J112+J140+J193</f>
        <v>153043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8170188.18+203025.5-60+0.04+600</f>
        <v>8373753.7199999997</v>
      </c>
      <c r="G198" s="18">
        <v>5121159.7305395929</v>
      </c>
      <c r="H198" s="18">
        <v>84464.05</v>
      </c>
      <c r="I198" s="18">
        <v>314807.09000000003</v>
      </c>
      <c r="J198" s="18">
        <v>304413.74</v>
      </c>
      <c r="K198" s="18">
        <v>0</v>
      </c>
      <c r="L198" s="19">
        <f>SUM(F198:K198)</f>
        <v>14198598.330539593</v>
      </c>
      <c r="M198" s="8"/>
      <c r="N198" s="264"/>
    </row>
    <row r="199" spans="1:14" s="3" customFormat="1" ht="12.2" customHeight="1" x14ac:dyDescent="0.15">
      <c r="A199" s="1" t="s">
        <v>439</v>
      </c>
      <c r="B199" s="2" t="s">
        <v>341</v>
      </c>
      <c r="C199" s="2" t="s">
        <v>291</v>
      </c>
      <c r="D199" s="2" t="s">
        <v>431</v>
      </c>
      <c r="E199" s="6">
        <v>1200</v>
      </c>
      <c r="F199" s="18">
        <v>4125118.98</v>
      </c>
      <c r="G199" s="18">
        <v>2522991.2062405758</v>
      </c>
      <c r="H199" s="18">
        <v>796567.43</v>
      </c>
      <c r="I199" s="18">
        <v>45257.4</v>
      </c>
      <c r="J199" s="18">
        <v>0</v>
      </c>
      <c r="K199" s="18">
        <v>0</v>
      </c>
      <c r="L199" s="19">
        <f>SUM(F199:K199)</f>
        <v>7489935.0162405763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1491179.81</v>
      </c>
      <c r="G203" s="18">
        <v>912030.31131807319</v>
      </c>
      <c r="H203" s="18">
        <v>815676.94</v>
      </c>
      <c r="I203" s="18">
        <v>20453.169999999998</v>
      </c>
      <c r="J203" s="18"/>
      <c r="K203" s="18">
        <v>0</v>
      </c>
      <c r="L203" s="19">
        <f t="shared" ref="L203:L209" si="0">SUM(F203:K203)</f>
        <v>3239340.2313180729</v>
      </c>
      <c r="M203" s="8"/>
      <c r="N203" s="264"/>
    </row>
    <row r="204" spans="1:14" s="3" customFormat="1" ht="12.2" customHeight="1" x14ac:dyDescent="0.15">
      <c r="A204" s="1" t="s">
        <v>443</v>
      </c>
      <c r="B204" s="2" t="s">
        <v>341</v>
      </c>
      <c r="C204" s="2" t="s">
        <v>295</v>
      </c>
      <c r="D204" s="2" t="s">
        <v>431</v>
      </c>
      <c r="E204" s="6">
        <v>2200</v>
      </c>
      <c r="F204" s="18">
        <v>415872.34</v>
      </c>
      <c r="G204" s="18">
        <v>254354.42270290368</v>
      </c>
      <c r="H204" s="18">
        <v>1571.23</v>
      </c>
      <c r="I204" s="18">
        <v>182360.78</v>
      </c>
      <c r="J204" s="18"/>
      <c r="K204" s="18">
        <v>238.5</v>
      </c>
      <c r="L204" s="19">
        <f t="shared" si="0"/>
        <v>854397.27270290372</v>
      </c>
      <c r="M204" s="8"/>
      <c r="N204" s="264"/>
    </row>
    <row r="205" spans="1:14" s="3" customFormat="1" ht="12.2" customHeight="1" x14ac:dyDescent="0.15">
      <c r="A205" s="1" t="s">
        <v>444</v>
      </c>
      <c r="B205" s="2" t="s">
        <v>341</v>
      </c>
      <c r="C205" s="2" t="s">
        <v>296</v>
      </c>
      <c r="D205" s="2" t="s">
        <v>431</v>
      </c>
      <c r="E205" s="6">
        <v>2300</v>
      </c>
      <c r="F205" s="18">
        <v>544178.03</v>
      </c>
      <c r="G205" s="18">
        <v>332828.31137135351</v>
      </c>
      <c r="H205" s="18">
        <v>218095.7</v>
      </c>
      <c r="I205" s="18">
        <v>14702.35</v>
      </c>
      <c r="J205" s="18">
        <v>29409.56</v>
      </c>
      <c r="K205" s="18">
        <v>13899.66</v>
      </c>
      <c r="L205" s="19">
        <f t="shared" si="0"/>
        <v>1153113.6113713535</v>
      </c>
      <c r="M205" s="8"/>
      <c r="N205" s="264"/>
    </row>
    <row r="206" spans="1:14" s="3" customFormat="1" ht="12.2" customHeight="1" x14ac:dyDescent="0.15">
      <c r="A206" s="1" t="s">
        <v>445</v>
      </c>
      <c r="B206" s="2" t="s">
        <v>341</v>
      </c>
      <c r="C206" s="2" t="s">
        <v>297</v>
      </c>
      <c r="D206" s="2" t="s">
        <v>431</v>
      </c>
      <c r="E206" s="6">
        <v>2400</v>
      </c>
      <c r="F206" s="18">
        <v>1215188.9099999999</v>
      </c>
      <c r="G206" s="18">
        <v>743229.69803190266</v>
      </c>
      <c r="H206" s="18">
        <v>63542.49</v>
      </c>
      <c r="I206" s="18">
        <v>12455.02</v>
      </c>
      <c r="J206" s="18">
        <v>0</v>
      </c>
      <c r="K206" s="18">
        <v>8219.07</v>
      </c>
      <c r="L206" s="19">
        <f t="shared" si="0"/>
        <v>2042635.1880319025</v>
      </c>
      <c r="M206" s="8"/>
      <c r="N206" s="264"/>
    </row>
    <row r="207" spans="1:14" s="3" customFormat="1" ht="12.2" customHeight="1" x14ac:dyDescent="0.15">
      <c r="A207" s="1" t="s">
        <v>446</v>
      </c>
      <c r="B207" s="2" t="s">
        <v>341</v>
      </c>
      <c r="C207" s="2" t="s">
        <v>298</v>
      </c>
      <c r="D207" s="2" t="s">
        <v>431</v>
      </c>
      <c r="E207" s="6">
        <v>2500</v>
      </c>
      <c r="F207" s="18">
        <v>153594.32999999999</v>
      </c>
      <c r="G207" s="18">
        <v>93940.840445385897</v>
      </c>
      <c r="H207" s="18">
        <v>70283.149999999994</v>
      </c>
      <c r="I207" s="18">
        <v>0</v>
      </c>
      <c r="J207" s="18">
        <v>0</v>
      </c>
      <c r="K207" s="18">
        <v>2448.34</v>
      </c>
      <c r="L207" s="19">
        <f t="shared" si="0"/>
        <v>320266.6604453859</v>
      </c>
      <c r="M207" s="8"/>
      <c r="N207" s="264"/>
    </row>
    <row r="208" spans="1:14" s="3" customFormat="1" ht="12.2" customHeight="1" x14ac:dyDescent="0.15">
      <c r="A208" s="1" t="s">
        <v>447</v>
      </c>
      <c r="B208" s="2" t="s">
        <v>341</v>
      </c>
      <c r="C208" s="2" t="s">
        <v>299</v>
      </c>
      <c r="D208" s="2" t="s">
        <v>431</v>
      </c>
      <c r="E208" s="6">
        <v>2600</v>
      </c>
      <c r="F208" s="18">
        <v>1071619.3899999999</v>
      </c>
      <c r="G208" s="18">
        <v>655420.19769982237</v>
      </c>
      <c r="H208" s="18">
        <v>367816.48</v>
      </c>
      <c r="I208" s="18">
        <v>545645.86</v>
      </c>
      <c r="J208" s="18">
        <v>8335.57</v>
      </c>
      <c r="K208" s="18">
        <v>0</v>
      </c>
      <c r="L208" s="19">
        <f t="shared" si="0"/>
        <v>2648837.4976998218</v>
      </c>
      <c r="M208" s="8"/>
      <c r="N208" s="264"/>
    </row>
    <row r="209" spans="1:14" s="3" customFormat="1" ht="12.2" customHeight="1" x14ac:dyDescent="0.15">
      <c r="A209" s="1" t="s">
        <v>448</v>
      </c>
      <c r="B209" s="2" t="s">
        <v>341</v>
      </c>
      <c r="C209" s="2" t="s">
        <v>300</v>
      </c>
      <c r="D209" s="2" t="s">
        <v>431</v>
      </c>
      <c r="E209" s="6">
        <v>2700</v>
      </c>
      <c r="F209" s="18">
        <v>31028.61</v>
      </c>
      <c r="G209" s="18">
        <v>18977.612658306498</v>
      </c>
      <c r="H209" s="18">
        <v>1566137.33</v>
      </c>
      <c r="I209" s="18">
        <v>0</v>
      </c>
      <c r="J209" s="18">
        <v>0</v>
      </c>
      <c r="K209" s="18">
        <v>0</v>
      </c>
      <c r="L209" s="19">
        <f t="shared" si="0"/>
        <v>1616143.5526583067</v>
      </c>
      <c r="M209" s="8"/>
      <c r="N209" s="264"/>
    </row>
    <row r="210" spans="1:14" s="3" customFormat="1" ht="12.2" customHeight="1" x14ac:dyDescent="0.15">
      <c r="A210" s="1" t="s">
        <v>449</v>
      </c>
      <c r="B210" s="2" t="s">
        <v>341</v>
      </c>
      <c r="C210" s="2" t="s">
        <v>343</v>
      </c>
      <c r="D210" s="2" t="s">
        <v>431</v>
      </c>
      <c r="E210" s="6">
        <v>2800</v>
      </c>
      <c r="F210" s="18">
        <v>73475</v>
      </c>
      <c r="G210" s="18">
        <v>44938.528992084081</v>
      </c>
      <c r="H210" s="18">
        <v>0</v>
      </c>
      <c r="I210" s="18">
        <v>0</v>
      </c>
      <c r="J210" s="18">
        <v>0</v>
      </c>
      <c r="K210" s="18">
        <v>0</v>
      </c>
      <c r="L210" s="19">
        <f>SUM(F210:K210)</f>
        <v>118413.52899208409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17495009.119999997</v>
      </c>
      <c r="G212" s="41">
        <f t="shared" si="1"/>
        <v>10699870.860000001</v>
      </c>
      <c r="H212" s="41">
        <f t="shared" si="1"/>
        <v>3984154.8</v>
      </c>
      <c r="I212" s="41">
        <f t="shared" si="1"/>
        <v>1135681.67</v>
      </c>
      <c r="J212" s="41">
        <f t="shared" si="1"/>
        <v>342158.87</v>
      </c>
      <c r="K212" s="41">
        <f t="shared" si="1"/>
        <v>24805.57</v>
      </c>
      <c r="L212" s="41">
        <f t="shared" si="1"/>
        <v>33681680.890000001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2704665.72</v>
      </c>
      <c r="G216" s="18">
        <v>1763165.7642405138</v>
      </c>
      <c r="H216" s="18">
        <v>5398.76</v>
      </c>
      <c r="I216" s="18">
        <v>64606.64</v>
      </c>
      <c r="J216" s="18">
        <v>88875.07</v>
      </c>
      <c r="K216" s="18">
        <v>0</v>
      </c>
      <c r="L216" s="19">
        <f>SUM(F216:K216)</f>
        <v>4626711.954240514</v>
      </c>
      <c r="M216" s="8"/>
      <c r="N216" s="264"/>
    </row>
    <row r="217" spans="1:14" s="3" customFormat="1" ht="12.2" customHeight="1" x14ac:dyDescent="0.15">
      <c r="A217" s="1" t="s">
        <v>439</v>
      </c>
      <c r="B217" s="2" t="s">
        <v>346</v>
      </c>
      <c r="C217" s="2" t="s">
        <v>291</v>
      </c>
      <c r="D217" s="2" t="s">
        <v>431</v>
      </c>
      <c r="E217" s="6">
        <v>1200</v>
      </c>
      <c r="F217" s="18">
        <v>1099923.2</v>
      </c>
      <c r="G217" s="18">
        <v>717037.56778263568</v>
      </c>
      <c r="H217" s="18">
        <v>461758.55</v>
      </c>
      <c r="I217" s="18">
        <v>818.78</v>
      </c>
      <c r="J217" s="18">
        <v>0</v>
      </c>
      <c r="K217" s="18">
        <v>0</v>
      </c>
      <c r="L217" s="19">
        <f>SUM(F217:K217)</f>
        <v>2279538.0977826351</v>
      </c>
      <c r="M217" s="8"/>
      <c r="N217" s="264"/>
    </row>
    <row r="218" spans="1:14" s="3" customFormat="1" ht="12.2" customHeight="1" x14ac:dyDescent="0.15">
      <c r="A218" s="1" t="s">
        <v>440</v>
      </c>
      <c r="B218" s="2" t="s">
        <v>346</v>
      </c>
      <c r="C218" s="2" t="s">
        <v>292</v>
      </c>
      <c r="D218" s="2" t="s">
        <v>431</v>
      </c>
      <c r="E218" s="6">
        <v>1300</v>
      </c>
      <c r="F218" s="18"/>
      <c r="G218" s="18">
        <v>0</v>
      </c>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39384</v>
      </c>
      <c r="G219" s="18">
        <v>25674.344872034089</v>
      </c>
      <c r="H219" s="18">
        <v>5110</v>
      </c>
      <c r="I219" s="18">
        <v>8136.89</v>
      </c>
      <c r="J219" s="18">
        <v>0</v>
      </c>
      <c r="K219" s="18">
        <v>0</v>
      </c>
      <c r="L219" s="19">
        <f>SUM(F219:K219)</f>
        <v>78305.234872034096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375168</v>
      </c>
      <c r="G221" s="18">
        <v>244571.21208996762</v>
      </c>
      <c r="H221" s="18">
        <v>331023.68</v>
      </c>
      <c r="I221" s="18">
        <v>3077.04</v>
      </c>
      <c r="J221" s="18">
        <v>0</v>
      </c>
      <c r="K221" s="18">
        <v>0</v>
      </c>
      <c r="L221" s="19">
        <f t="shared" ref="L221:L227" si="2">SUM(F221:K221)</f>
        <v>953839.93208996765</v>
      </c>
      <c r="M221" s="8"/>
      <c r="N221" s="264"/>
    </row>
    <row r="222" spans="1:14" s="3" customFormat="1" ht="12.2" customHeight="1" x14ac:dyDescent="0.15">
      <c r="A222" s="1" t="s">
        <v>443</v>
      </c>
      <c r="B222" s="2" t="s">
        <v>346</v>
      </c>
      <c r="C222" s="2" t="s">
        <v>295</v>
      </c>
      <c r="D222" s="2" t="s">
        <v>431</v>
      </c>
      <c r="E222" s="6">
        <v>2200</v>
      </c>
      <c r="F222" s="18">
        <v>133079.15</v>
      </c>
      <c r="G222" s="18">
        <v>86754.011587882269</v>
      </c>
      <c r="H222" s="18">
        <v>502.79</v>
      </c>
      <c r="I222" s="18">
        <v>58355.45</v>
      </c>
      <c r="J222" s="18"/>
      <c r="K222" s="18">
        <v>76.319999999999993</v>
      </c>
      <c r="L222" s="19">
        <f t="shared" si="2"/>
        <v>278767.72158788226</v>
      </c>
      <c r="M222" s="8"/>
      <c r="N222" s="264"/>
    </row>
    <row r="223" spans="1:14" s="3" customFormat="1" ht="12.2" customHeight="1" x14ac:dyDescent="0.15">
      <c r="A223" s="1" t="s">
        <v>444</v>
      </c>
      <c r="B223" s="2" t="s">
        <v>346</v>
      </c>
      <c r="C223" s="2" t="s">
        <v>296</v>
      </c>
      <c r="D223" s="2" t="s">
        <v>431</v>
      </c>
      <c r="E223" s="6">
        <v>2300</v>
      </c>
      <c r="F223" s="18">
        <v>174136.97</v>
      </c>
      <c r="G223" s="18">
        <v>113519.5161169778</v>
      </c>
      <c r="H223" s="18">
        <v>69790.62</v>
      </c>
      <c r="I223" s="18">
        <v>4704.75</v>
      </c>
      <c r="J223" s="18">
        <v>9411.06</v>
      </c>
      <c r="K223" s="18">
        <v>4447.8900000000003</v>
      </c>
      <c r="L223" s="19">
        <f t="shared" si="2"/>
        <v>376010.80611697782</v>
      </c>
      <c r="M223" s="8"/>
      <c r="N223" s="264"/>
    </row>
    <row r="224" spans="1:14" s="3" customFormat="1" ht="12.2" customHeight="1" x14ac:dyDescent="0.15">
      <c r="A224" s="1" t="s">
        <v>445</v>
      </c>
      <c r="B224" s="2" t="s">
        <v>346</v>
      </c>
      <c r="C224" s="2" t="s">
        <v>297</v>
      </c>
      <c r="D224" s="2" t="s">
        <v>431</v>
      </c>
      <c r="E224" s="6">
        <v>2400</v>
      </c>
      <c r="F224" s="18">
        <v>287523.36</v>
      </c>
      <c r="G224" s="18">
        <v>187435.85982647803</v>
      </c>
      <c r="H224" s="18">
        <v>23556.09</v>
      </c>
      <c r="I224" s="18">
        <v>4318.99</v>
      </c>
      <c r="J224" s="18">
        <v>0</v>
      </c>
      <c r="K224" s="18">
        <v>2593</v>
      </c>
      <c r="L224" s="19">
        <f t="shared" si="2"/>
        <v>505427.29982647806</v>
      </c>
      <c r="M224" s="8"/>
      <c r="N224" s="264"/>
    </row>
    <row r="225" spans="1:14" s="3" customFormat="1" ht="12.2" customHeight="1" x14ac:dyDescent="0.15">
      <c r="A225" s="1" t="s">
        <v>446</v>
      </c>
      <c r="B225" s="2" t="s">
        <v>346</v>
      </c>
      <c r="C225" s="2" t="s">
        <v>298</v>
      </c>
      <c r="D225" s="2" t="s">
        <v>431</v>
      </c>
      <c r="E225" s="6">
        <v>2500</v>
      </c>
      <c r="F225" s="18">
        <v>47511.19</v>
      </c>
      <c r="G225" s="18">
        <v>30972.442548769483</v>
      </c>
      <c r="H225" s="18">
        <v>22490.61</v>
      </c>
      <c r="I225" s="18">
        <v>0</v>
      </c>
      <c r="J225" s="18">
        <v>0</v>
      </c>
      <c r="K225" s="18">
        <v>783.47</v>
      </c>
      <c r="L225" s="19">
        <f t="shared" si="2"/>
        <v>101757.71254876949</v>
      </c>
      <c r="M225" s="8"/>
      <c r="N225" s="264"/>
    </row>
    <row r="226" spans="1:14" s="3" customFormat="1" ht="12.2" customHeight="1" x14ac:dyDescent="0.15">
      <c r="A226" s="1" t="s">
        <v>447</v>
      </c>
      <c r="B226" s="2" t="s">
        <v>346</v>
      </c>
      <c r="C226" s="2" t="s">
        <v>299</v>
      </c>
      <c r="D226" s="2" t="s">
        <v>431</v>
      </c>
      <c r="E226" s="6">
        <v>2600</v>
      </c>
      <c r="F226" s="18">
        <v>356540.11</v>
      </c>
      <c r="G226" s="18">
        <v>232427.73067369923</v>
      </c>
      <c r="H226" s="18">
        <v>120844.08</v>
      </c>
      <c r="I226" s="18">
        <v>252252.84</v>
      </c>
      <c r="J226" s="18">
        <v>2667.38</v>
      </c>
      <c r="K226" s="18">
        <v>0</v>
      </c>
      <c r="L226" s="19">
        <f t="shared" si="2"/>
        <v>964732.14067369921</v>
      </c>
      <c r="M226" s="8"/>
      <c r="N226" s="264"/>
    </row>
    <row r="227" spans="1:14" s="3" customFormat="1" ht="12.2" customHeight="1" x14ac:dyDescent="0.15">
      <c r="A227" s="1" t="s">
        <v>448</v>
      </c>
      <c r="B227" s="2" t="s">
        <v>346</v>
      </c>
      <c r="C227" s="2" t="s">
        <v>300</v>
      </c>
      <c r="D227" s="2" t="s">
        <v>431</v>
      </c>
      <c r="E227" s="6">
        <v>2700</v>
      </c>
      <c r="F227" s="18">
        <v>9929.16</v>
      </c>
      <c r="G227" s="18">
        <v>6472.7980431039505</v>
      </c>
      <c r="H227" s="18">
        <v>482196.1</v>
      </c>
      <c r="I227" s="18">
        <v>0</v>
      </c>
      <c r="J227" s="18">
        <v>0</v>
      </c>
      <c r="K227" s="18">
        <v>0</v>
      </c>
      <c r="L227" s="19">
        <f t="shared" si="2"/>
        <v>498598.0580431039</v>
      </c>
      <c r="M227" s="8"/>
      <c r="N227" s="264"/>
    </row>
    <row r="228" spans="1:14" s="3" customFormat="1" ht="12.2" customHeight="1" x14ac:dyDescent="0.15">
      <c r="A228" s="1" t="s">
        <v>449</v>
      </c>
      <c r="B228" s="2" t="s">
        <v>346</v>
      </c>
      <c r="C228" s="2" t="s">
        <v>343</v>
      </c>
      <c r="D228" s="2" t="s">
        <v>431</v>
      </c>
      <c r="E228" s="6">
        <v>2800</v>
      </c>
      <c r="F228" s="18">
        <v>23512</v>
      </c>
      <c r="G228" s="18">
        <v>15327.422217937879</v>
      </c>
      <c r="H228" s="18">
        <v>0</v>
      </c>
      <c r="I228" s="18">
        <v>0</v>
      </c>
      <c r="J228" s="18">
        <v>0</v>
      </c>
      <c r="K228" s="18">
        <v>0</v>
      </c>
      <c r="L228" s="19">
        <f>SUM(F228:K228)</f>
        <v>38839.422217937878</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5251372.8600000013</v>
      </c>
      <c r="G230" s="41">
        <f>SUM(G216:G229)</f>
        <v>3423358.6699999995</v>
      </c>
      <c r="H230" s="41">
        <f>SUM(H216:H229)</f>
        <v>1522671.2799999998</v>
      </c>
      <c r="I230" s="41">
        <f>SUM(I216:I229)</f>
        <v>396271.38</v>
      </c>
      <c r="J230" s="41">
        <f>SUM(J216:J229)</f>
        <v>100953.51000000001</v>
      </c>
      <c r="K230" s="41">
        <f t="shared" si="3"/>
        <v>7900.68</v>
      </c>
      <c r="L230" s="41">
        <f t="shared" si="3"/>
        <v>10702528.379999999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5844558.63+150000</f>
        <v>5994558.6299999999</v>
      </c>
      <c r="G234" s="18">
        <v>3943544.5388961285</v>
      </c>
      <c r="H234" s="18">
        <v>73064.73</v>
      </c>
      <c r="I234" s="18">
        <v>180504.28</v>
      </c>
      <c r="J234" s="18">
        <v>205485.88</v>
      </c>
      <c r="K234" s="18">
        <v>0</v>
      </c>
      <c r="L234" s="19">
        <f>SUM(F234:K234)</f>
        <v>10397158.058896128</v>
      </c>
      <c r="M234" s="8"/>
      <c r="N234" s="264"/>
    </row>
    <row r="235" spans="1:14" s="3" customFormat="1" ht="12.2" customHeight="1" x14ac:dyDescent="0.15">
      <c r="A235" s="1" t="s">
        <v>439</v>
      </c>
      <c r="B235" s="2" t="s">
        <v>350</v>
      </c>
      <c r="C235" s="2" t="s">
        <v>291</v>
      </c>
      <c r="D235" s="2" t="s">
        <v>431</v>
      </c>
      <c r="E235" s="6">
        <v>1200</v>
      </c>
      <c r="F235" s="18">
        <v>1949628.67</v>
      </c>
      <c r="G235" s="18">
        <v>1315488.1285627247</v>
      </c>
      <c r="H235" s="18">
        <v>2726970.38</v>
      </c>
      <c r="I235" s="18">
        <v>1739.91</v>
      </c>
      <c r="J235" s="18">
        <v>0</v>
      </c>
      <c r="K235" s="18">
        <v>0</v>
      </c>
      <c r="L235" s="19">
        <f>SUM(F235:K235)</f>
        <v>5993827.0885627251</v>
      </c>
      <c r="M235" s="8"/>
      <c r="N235" s="264"/>
    </row>
    <row r="236" spans="1:14" s="3" customFormat="1" ht="12.2" customHeight="1" x14ac:dyDescent="0.15">
      <c r="A236" s="1" t="s">
        <v>440</v>
      </c>
      <c r="B236" s="2" t="s">
        <v>350</v>
      </c>
      <c r="C236" s="2" t="s">
        <v>292</v>
      </c>
      <c r="D236" s="2" t="s">
        <v>431</v>
      </c>
      <c r="E236" s="6">
        <v>1300</v>
      </c>
      <c r="F236" s="18"/>
      <c r="G236" s="18">
        <v>0</v>
      </c>
      <c r="H236" s="18">
        <v>8793.2900000000009</v>
      </c>
      <c r="I236" s="18"/>
      <c r="J236" s="18"/>
      <c r="K236" s="18"/>
      <c r="L236" s="19">
        <f>SUM(F236:K236)</f>
        <v>8793.2900000000009</v>
      </c>
      <c r="M236" s="8"/>
      <c r="N236" s="264"/>
    </row>
    <row r="237" spans="1:14" s="3" customFormat="1" ht="12.2" customHeight="1" x14ac:dyDescent="0.15">
      <c r="A237" s="1" t="s">
        <v>441</v>
      </c>
      <c r="B237" s="2" t="s">
        <v>350</v>
      </c>
      <c r="C237" s="2" t="s">
        <v>293</v>
      </c>
      <c r="D237" s="2" t="s">
        <v>431</v>
      </c>
      <c r="E237" s="6">
        <v>1400</v>
      </c>
      <c r="F237" s="18">
        <v>407055.1</v>
      </c>
      <c r="G237" s="18">
        <v>274655.45616997557</v>
      </c>
      <c r="H237" s="18">
        <v>42361.4</v>
      </c>
      <c r="I237" s="18">
        <v>77366.66</v>
      </c>
      <c r="J237" s="18">
        <v>13028</v>
      </c>
      <c r="K237" s="18">
        <v>13865</v>
      </c>
      <c r="L237" s="19">
        <f>SUM(F237:K237)</f>
        <v>828331.6161699756</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756779.35</v>
      </c>
      <c r="G239" s="18">
        <v>510627.62165187864</v>
      </c>
      <c r="H239" s="18">
        <v>323669.82</v>
      </c>
      <c r="I239" s="18">
        <v>1328.42</v>
      </c>
      <c r="J239" s="18">
        <v>0</v>
      </c>
      <c r="K239" s="18">
        <v>0</v>
      </c>
      <c r="L239" s="19">
        <f t="shared" ref="L239:L245" si="4">SUM(F239:K239)</f>
        <v>1592405.2116518787</v>
      </c>
      <c r="M239" s="8"/>
      <c r="N239" s="264"/>
    </row>
    <row r="240" spans="1:14" s="3" customFormat="1" ht="12.2" customHeight="1" x14ac:dyDescent="0.15">
      <c r="A240" s="1" t="s">
        <v>443</v>
      </c>
      <c r="B240" s="2" t="s">
        <v>350</v>
      </c>
      <c r="C240" s="2" t="s">
        <v>295</v>
      </c>
      <c r="D240" s="2" t="s">
        <v>431</v>
      </c>
      <c r="E240" s="6">
        <v>2200</v>
      </c>
      <c r="F240" s="18">
        <v>282793.19</v>
      </c>
      <c r="G240" s="18">
        <v>190811.25037178647</v>
      </c>
      <c r="H240" s="18"/>
      <c r="I240" s="18">
        <v>124005.33</v>
      </c>
      <c r="J240" s="18"/>
      <c r="K240" s="18">
        <v>162.18</v>
      </c>
      <c r="L240" s="19">
        <f t="shared" si="4"/>
        <v>597771.95037178649</v>
      </c>
      <c r="M240" s="8"/>
      <c r="N240" s="264"/>
    </row>
    <row r="241" spans="1:14" s="3" customFormat="1" ht="12.2" customHeight="1" x14ac:dyDescent="0.15">
      <c r="A241" s="1" t="s">
        <v>444</v>
      </c>
      <c r="B241" s="2" t="s">
        <v>350</v>
      </c>
      <c r="C241" s="2" t="s">
        <v>296</v>
      </c>
      <c r="D241" s="2" t="s">
        <v>431</v>
      </c>
      <c r="E241" s="6">
        <v>2300</v>
      </c>
      <c r="F241" s="18">
        <v>370041.06</v>
      </c>
      <c r="G241" s="18">
        <v>249680.6848407533</v>
      </c>
      <c r="H241" s="18">
        <v>148305.07</v>
      </c>
      <c r="I241" s="18">
        <v>9997.6</v>
      </c>
      <c r="J241" s="18">
        <v>19998.5</v>
      </c>
      <c r="K241" s="18">
        <v>9451.77</v>
      </c>
      <c r="L241" s="19">
        <f t="shared" si="4"/>
        <v>807474.68484075333</v>
      </c>
      <c r="M241" s="8"/>
      <c r="N241" s="264"/>
    </row>
    <row r="242" spans="1:14" s="3" customFormat="1" ht="12.2" customHeight="1" x14ac:dyDescent="0.15">
      <c r="A242" s="1" t="s">
        <v>445</v>
      </c>
      <c r="B242" s="2" t="s">
        <v>350</v>
      </c>
      <c r="C242" s="2" t="s">
        <v>297</v>
      </c>
      <c r="D242" s="2" t="s">
        <v>431</v>
      </c>
      <c r="E242" s="6">
        <v>2400</v>
      </c>
      <c r="F242" s="18">
        <v>534461.81000000006</v>
      </c>
      <c r="G242" s="18">
        <v>360621.57735152036</v>
      </c>
      <c r="H242" s="18">
        <v>93246.68</v>
      </c>
      <c r="I242" s="18">
        <v>5438.7</v>
      </c>
      <c r="J242" s="18">
        <v>0</v>
      </c>
      <c r="K242" s="18">
        <f>43423.37-0.35</f>
        <v>43423.020000000004</v>
      </c>
      <c r="L242" s="19">
        <f t="shared" si="4"/>
        <v>1037191.7873515203</v>
      </c>
      <c r="M242" s="8"/>
      <c r="N242" s="264"/>
    </row>
    <row r="243" spans="1:14" s="3" customFormat="1" ht="12.2" customHeight="1" x14ac:dyDescent="0.15">
      <c r="A243" s="1" t="s">
        <v>446</v>
      </c>
      <c r="B243" s="2" t="s">
        <v>350</v>
      </c>
      <c r="C243" s="2" t="s">
        <v>298</v>
      </c>
      <c r="D243" s="2" t="s">
        <v>431</v>
      </c>
      <c r="E243" s="6">
        <v>2500</v>
      </c>
      <c r="F243" s="18">
        <v>135247.28</v>
      </c>
      <c r="G243" s="18">
        <v>91256.450009220905</v>
      </c>
      <c r="H243" s="18">
        <v>47792.54</v>
      </c>
      <c r="I243" s="18">
        <v>0</v>
      </c>
      <c r="J243" s="18">
        <v>0</v>
      </c>
      <c r="K243" s="18">
        <v>1664.87</v>
      </c>
      <c r="L243" s="19">
        <f t="shared" si="4"/>
        <v>275961.14000922086</v>
      </c>
      <c r="M243" s="8"/>
      <c r="N243" s="264"/>
    </row>
    <row r="244" spans="1:14" s="3" customFormat="1" ht="12.2" customHeight="1" x14ac:dyDescent="0.15">
      <c r="A244" s="1" t="s">
        <v>447</v>
      </c>
      <c r="B244" s="2" t="s">
        <v>350</v>
      </c>
      <c r="C244" s="2" t="s">
        <v>299</v>
      </c>
      <c r="D244" s="2" t="s">
        <v>431</v>
      </c>
      <c r="E244" s="6">
        <v>2600</v>
      </c>
      <c r="F244" s="18">
        <v>431690.59</v>
      </c>
      <c r="G244" s="18">
        <v>291277.95210215007</v>
      </c>
      <c r="H244" s="18">
        <v>252476.09</v>
      </c>
      <c r="I244" s="18">
        <v>350253.9</v>
      </c>
      <c r="J244" s="18">
        <v>5668.18</v>
      </c>
      <c r="K244" s="18">
        <v>0</v>
      </c>
      <c r="L244" s="19">
        <f t="shared" si="4"/>
        <v>1331366.7121021501</v>
      </c>
      <c r="M244" s="8"/>
      <c r="N244" s="264"/>
    </row>
    <row r="245" spans="1:14" s="3" customFormat="1" ht="12.2" customHeight="1" x14ac:dyDescent="0.15">
      <c r="A245" s="1" t="s">
        <v>448</v>
      </c>
      <c r="B245" s="2" t="s">
        <v>350</v>
      </c>
      <c r="C245" s="2" t="s">
        <v>300</v>
      </c>
      <c r="D245" s="2" t="s">
        <v>431</v>
      </c>
      <c r="E245" s="6">
        <v>2700</v>
      </c>
      <c r="F245" s="18">
        <v>21099.45</v>
      </c>
      <c r="G245" s="18">
        <v>14236.596138177834</v>
      </c>
      <c r="H245" s="18">
        <v>1231218.29</v>
      </c>
      <c r="I245" s="18">
        <v>0</v>
      </c>
      <c r="J245" s="18">
        <v>0</v>
      </c>
      <c r="K245" s="18">
        <v>0</v>
      </c>
      <c r="L245" s="19">
        <f t="shared" si="4"/>
        <v>1266554.3361381779</v>
      </c>
      <c r="M245" s="8"/>
      <c r="N245" s="264"/>
    </row>
    <row r="246" spans="1:14" s="3" customFormat="1" ht="12.2" customHeight="1" x14ac:dyDescent="0.15">
      <c r="A246" s="1" t="s">
        <v>449</v>
      </c>
      <c r="B246" s="2" t="s">
        <v>350</v>
      </c>
      <c r="C246" s="2" t="s">
        <v>343</v>
      </c>
      <c r="D246" s="2" t="s">
        <v>431</v>
      </c>
      <c r="E246" s="6">
        <v>2800</v>
      </c>
      <c r="F246" s="18">
        <v>49963</v>
      </c>
      <c r="G246" s="18">
        <v>33711.923905683747</v>
      </c>
      <c r="H246" s="18">
        <v>0</v>
      </c>
      <c r="I246" s="18">
        <v>0</v>
      </c>
      <c r="J246" s="18">
        <v>0</v>
      </c>
      <c r="K246" s="18">
        <v>0</v>
      </c>
      <c r="L246" s="19">
        <f>SUM(F246:K246)</f>
        <v>83674.92390568374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10933318.129999999</v>
      </c>
      <c r="G248" s="41">
        <f t="shared" si="5"/>
        <v>7275912.1800000006</v>
      </c>
      <c r="H248" s="41">
        <f t="shared" si="5"/>
        <v>4947898.2899999991</v>
      </c>
      <c r="I248" s="41">
        <f t="shared" si="5"/>
        <v>750634.8</v>
      </c>
      <c r="J248" s="41">
        <f t="shared" si="5"/>
        <v>244180.56</v>
      </c>
      <c r="K248" s="41">
        <f t="shared" si="5"/>
        <v>68566.84</v>
      </c>
      <c r="L248" s="41">
        <f t="shared" si="5"/>
        <v>24220510.800000001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c r="H252" s="18"/>
      <c r="I252" s="18">
        <v>0</v>
      </c>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344571.32</v>
      </c>
      <c r="I256" s="18"/>
      <c r="J256" s="18"/>
      <c r="K256" s="18"/>
      <c r="L256" s="19">
        <f t="shared" si="6"/>
        <v>344571.32</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344571.32</v>
      </c>
      <c r="I257" s="41">
        <f t="shared" si="7"/>
        <v>0</v>
      </c>
      <c r="J257" s="41">
        <f t="shared" si="7"/>
        <v>0</v>
      </c>
      <c r="K257" s="41">
        <f t="shared" si="7"/>
        <v>0</v>
      </c>
      <c r="L257" s="41">
        <f>SUM(F257:K257)</f>
        <v>344571.32</v>
      </c>
      <c r="M257" s="8"/>
      <c r="N257" s="264"/>
    </row>
    <row r="258" spans="1:14" s="3" customFormat="1" ht="12.2" customHeight="1" thickTop="1" x14ac:dyDescent="0.15">
      <c r="A258" s="38" t="s">
        <v>462</v>
      </c>
      <c r="B258" s="40">
        <v>10</v>
      </c>
      <c r="C258" s="40">
        <v>8</v>
      </c>
      <c r="D258" s="39" t="s">
        <v>431</v>
      </c>
      <c r="E258" s="40"/>
      <c r="F258" s="41">
        <f t="shared" ref="F258:L258" si="8">F212+F230+F248+F257</f>
        <v>33679700.109999999</v>
      </c>
      <c r="G258" s="41">
        <f t="shared" si="8"/>
        <v>21399141.710000001</v>
      </c>
      <c r="H258" s="41">
        <f t="shared" si="8"/>
        <v>10799295.689999999</v>
      </c>
      <c r="I258" s="41">
        <f t="shared" si="8"/>
        <v>2282587.8499999996</v>
      </c>
      <c r="J258" s="41">
        <f t="shared" si="8"/>
        <v>687292.94</v>
      </c>
      <c r="K258" s="41">
        <f t="shared" si="8"/>
        <v>101273.09</v>
      </c>
      <c r="L258" s="41">
        <f t="shared" si="8"/>
        <v>68949291.389999986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1070000</v>
      </c>
      <c r="L261" s="19">
        <f>SUM(F261:K261)</f>
        <v>1070000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98746.25</v>
      </c>
      <c r="L262" s="19">
        <f>SUM(F262:K262)</f>
        <v>98746.25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299320.65+0.35</f>
        <v>299321</v>
      </c>
      <c r="L264" s="19">
        <f>SUM(F264:K264)</f>
        <v>299321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1618067.25</v>
      </c>
      <c r="L271" s="41">
        <f t="shared" si="9"/>
        <v>1618067.25</v>
      </c>
      <c r="M271" s="8"/>
      <c r="N271" s="264"/>
    </row>
    <row r="272" spans="1:14" s="34" customFormat="1" ht="12.2" customHeight="1" thickTop="1" x14ac:dyDescent="0.2">
      <c r="A272" s="43" t="s">
        <v>464</v>
      </c>
      <c r="B272" s="40">
        <v>10</v>
      </c>
      <c r="C272" s="40">
        <v>18</v>
      </c>
      <c r="D272" s="39" t="s">
        <v>431</v>
      </c>
      <c r="E272" s="40"/>
      <c r="F272" s="42">
        <f t="shared" ref="F272:L272" si="11">F258+F271</f>
        <v>33679700.109999999</v>
      </c>
      <c r="G272" s="42">
        <f t="shared" si="11"/>
        <v>21399141.710000001</v>
      </c>
      <c r="H272" s="42">
        <f t="shared" si="11"/>
        <v>10799295.689999999</v>
      </c>
      <c r="I272" s="42">
        <f t="shared" si="11"/>
        <v>2282587.8499999996</v>
      </c>
      <c r="J272" s="42">
        <f t="shared" si="11"/>
        <v>687292.94</v>
      </c>
      <c r="K272" s="42">
        <f t="shared" si="11"/>
        <v>1719340.34</v>
      </c>
      <c r="L272" s="42">
        <f t="shared" si="11"/>
        <v>70567358.639999986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f>177+57218+231441</f>
        <v>288836</v>
      </c>
      <c r="J277" s="18"/>
      <c r="K277" s="18"/>
      <c r="L277" s="19">
        <f>SUM(F277:K277)</f>
        <v>288836</v>
      </c>
      <c r="M277" s="8"/>
      <c r="N277" s="264"/>
    </row>
    <row r="278" spans="1:14" s="3" customFormat="1" ht="12.2" customHeight="1" x14ac:dyDescent="0.15">
      <c r="A278" s="1" t="s">
        <v>439</v>
      </c>
      <c r="B278" s="2" t="s">
        <v>357</v>
      </c>
      <c r="C278" s="2" t="s">
        <v>291</v>
      </c>
      <c r="D278" s="2" t="s">
        <v>431</v>
      </c>
      <c r="E278" s="6">
        <v>1200</v>
      </c>
      <c r="F278" s="18">
        <f>108429+25328+40443</f>
        <v>174200</v>
      </c>
      <c r="G278" s="18"/>
      <c r="H278" s="18"/>
      <c r="I278" s="18">
        <f>253603+198391</f>
        <v>451994</v>
      </c>
      <c r="J278" s="18"/>
      <c r="K278" s="18"/>
      <c r="L278" s="19">
        <f>SUM(F278:K278)</f>
        <v>626194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f>18568</f>
        <v>18568</v>
      </c>
      <c r="J280" s="18"/>
      <c r="K280" s="18"/>
      <c r="L280" s="19">
        <f>SUM(F280:K280)</f>
        <v>18568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64312+20251</f>
        <v>84563</v>
      </c>
      <c r="G282" s="18"/>
      <c r="H282" s="18">
        <f>2296+612</f>
        <v>2908</v>
      </c>
      <c r="I282" s="18">
        <f>166+4822</f>
        <v>4988</v>
      </c>
      <c r="J282" s="18"/>
      <c r="K282" s="18"/>
      <c r="L282" s="19">
        <f t="shared" ref="L282:L288" si="12">SUM(F282:K282)</f>
        <v>92459</v>
      </c>
      <c r="M282" s="8"/>
      <c r="N282" s="264"/>
    </row>
    <row r="283" spans="1:14" s="3" customFormat="1" ht="12.2" customHeight="1" x14ac:dyDescent="0.15">
      <c r="A283" s="1" t="s">
        <v>443</v>
      </c>
      <c r="B283" s="2" t="s">
        <v>357</v>
      </c>
      <c r="C283" s="2" t="s">
        <v>295</v>
      </c>
      <c r="D283" s="2" t="s">
        <v>431</v>
      </c>
      <c r="E283" s="6">
        <v>2200</v>
      </c>
      <c r="F283" s="18"/>
      <c r="G283" s="18"/>
      <c r="H283" s="18">
        <v>74974</v>
      </c>
      <c r="I283" s="18">
        <f>1806</f>
        <v>1806</v>
      </c>
      <c r="J283" s="18"/>
      <c r="K283" s="18"/>
      <c r="L283" s="19">
        <f t="shared" si="12"/>
        <v>76780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258763</v>
      </c>
      <c r="G291" s="42">
        <f t="shared" si="13"/>
        <v>0</v>
      </c>
      <c r="H291" s="42">
        <f t="shared" si="13"/>
        <v>77882</v>
      </c>
      <c r="I291" s="42">
        <f t="shared" si="13"/>
        <v>766192</v>
      </c>
      <c r="J291" s="42">
        <f t="shared" si="13"/>
        <v>0</v>
      </c>
      <c r="K291" s="42">
        <f t="shared" si="13"/>
        <v>0</v>
      </c>
      <c r="L291" s="41">
        <f t="shared" si="13"/>
        <v>1102837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f>356222+62369</f>
        <v>418591</v>
      </c>
      <c r="J296" s="18"/>
      <c r="K296" s="18"/>
      <c r="L296" s="19">
        <f>SUM(F296:K296)</f>
        <v>418591</v>
      </c>
      <c r="M296" s="8"/>
      <c r="N296" s="264"/>
    </row>
    <row r="297" spans="1:14" s="3" customFormat="1" ht="12.2" customHeight="1" x14ac:dyDescent="0.15">
      <c r="A297" s="1" t="s">
        <v>439</v>
      </c>
      <c r="B297" s="2" t="s">
        <v>358</v>
      </c>
      <c r="C297" s="2" t="s">
        <v>291</v>
      </c>
      <c r="D297" s="2" t="s">
        <v>431</v>
      </c>
      <c r="E297" s="6">
        <v>1200</v>
      </c>
      <c r="F297" s="18"/>
      <c r="G297" s="18"/>
      <c r="H297" s="18">
        <v>37647</v>
      </c>
      <c r="I297" s="18">
        <v>15</v>
      </c>
      <c r="J297" s="18"/>
      <c r="K297" s="18"/>
      <c r="L297" s="19">
        <f>SUM(F297:K297)</f>
        <v>37662</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f>2500+3854</f>
        <v>6354</v>
      </c>
      <c r="J299" s="18">
        <v>13760</v>
      </c>
      <c r="K299" s="18"/>
      <c r="L299" s="19">
        <f>SUM(F299:K299)</f>
        <v>20114</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3285</v>
      </c>
      <c r="G301" s="18"/>
      <c r="H301" s="18"/>
      <c r="I301" s="18"/>
      <c r="J301" s="18"/>
      <c r="K301" s="18"/>
      <c r="L301" s="19">
        <f t="shared" ref="L301:L307" si="14">SUM(F301:K301)</f>
        <v>3285</v>
      </c>
      <c r="M301" s="8"/>
      <c r="N301" s="264"/>
    </row>
    <row r="302" spans="1:14" s="3" customFormat="1" ht="12.2" customHeight="1" x14ac:dyDescent="0.15">
      <c r="A302" s="1" t="s">
        <v>443</v>
      </c>
      <c r="B302" s="2" t="s">
        <v>358</v>
      </c>
      <c r="C302" s="2" t="s">
        <v>295</v>
      </c>
      <c r="D302" s="2" t="s">
        <v>431</v>
      </c>
      <c r="E302" s="6">
        <v>2200</v>
      </c>
      <c r="F302" s="18"/>
      <c r="G302" s="18"/>
      <c r="H302" s="18">
        <f>55576+58009+14663+33395</f>
        <v>161643</v>
      </c>
      <c r="I302" s="18">
        <v>51853</v>
      </c>
      <c r="J302" s="18"/>
      <c r="K302" s="18"/>
      <c r="L302" s="19">
        <f t="shared" si="14"/>
        <v>213496</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v>79099</v>
      </c>
      <c r="J306" s="18"/>
      <c r="K306" s="18"/>
      <c r="L306" s="19">
        <f t="shared" si="14"/>
        <v>79099</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3285</v>
      </c>
      <c r="G310" s="42">
        <f t="shared" si="15"/>
        <v>0</v>
      </c>
      <c r="H310" s="42">
        <f t="shared" si="15"/>
        <v>199290</v>
      </c>
      <c r="I310" s="42">
        <f t="shared" si="15"/>
        <v>555912</v>
      </c>
      <c r="J310" s="42">
        <f t="shared" si="15"/>
        <v>13760</v>
      </c>
      <c r="K310" s="42">
        <f t="shared" si="15"/>
        <v>0</v>
      </c>
      <c r="L310" s="41">
        <f t="shared" si="15"/>
        <v>772247</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f>219907+16480+554107+1055+20000</f>
        <v>811549</v>
      </c>
      <c r="J315" s="18"/>
      <c r="K315" s="18"/>
      <c r="L315" s="19">
        <f>SUM(F315:K315)</f>
        <v>811549</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502949</f>
        <v>502949</v>
      </c>
      <c r="G320" s="18"/>
      <c r="H320" s="18"/>
      <c r="I320" s="18"/>
      <c r="J320" s="18"/>
      <c r="K320" s="18"/>
      <c r="L320" s="19">
        <f t="shared" ref="L320:L326" si="16">SUM(F320:K320)</f>
        <v>502949</v>
      </c>
      <c r="M320" s="8"/>
      <c r="N320" s="264"/>
    </row>
    <row r="321" spans="1:14" s="3" customFormat="1" ht="12.2" customHeight="1" x14ac:dyDescent="0.15">
      <c r="A321" s="1" t="s">
        <v>443</v>
      </c>
      <c r="B321" s="2" t="s">
        <v>359</v>
      </c>
      <c r="C321" s="2" t="s">
        <v>295</v>
      </c>
      <c r="D321" s="2" t="s">
        <v>431</v>
      </c>
      <c r="E321" s="6">
        <v>2200</v>
      </c>
      <c r="F321" s="18"/>
      <c r="G321" s="18"/>
      <c r="H321" s="18"/>
      <c r="I321" s="18"/>
      <c r="J321" s="18">
        <v>13500</v>
      </c>
      <c r="K321" s="18"/>
      <c r="L321" s="19">
        <f t="shared" si="16"/>
        <v>13500</v>
      </c>
      <c r="M321" s="8"/>
      <c r="N321" s="264"/>
    </row>
    <row r="322" spans="1:14" s="3" customFormat="1" ht="12.2" customHeight="1" x14ac:dyDescent="0.15">
      <c r="A322" s="1" t="s">
        <v>444</v>
      </c>
      <c r="B322" s="2" t="s">
        <v>359</v>
      </c>
      <c r="C322" s="2" t="s">
        <v>296</v>
      </c>
      <c r="D322" s="2" t="s">
        <v>431</v>
      </c>
      <c r="E322" s="6">
        <v>2300</v>
      </c>
      <c r="F322" s="18"/>
      <c r="G322" s="18"/>
      <c r="H322" s="18"/>
      <c r="I322" s="18">
        <v>94800.88</v>
      </c>
      <c r="J322" s="18"/>
      <c r="K322" s="18"/>
      <c r="L322" s="19">
        <f t="shared" si="16"/>
        <v>94800.88</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502949</v>
      </c>
      <c r="G329" s="42">
        <f t="shared" si="17"/>
        <v>0</v>
      </c>
      <c r="H329" s="42">
        <f t="shared" si="17"/>
        <v>0</v>
      </c>
      <c r="I329" s="42">
        <f t="shared" si="17"/>
        <v>906349.88</v>
      </c>
      <c r="J329" s="42">
        <f t="shared" si="17"/>
        <v>13500</v>
      </c>
      <c r="K329" s="42">
        <f t="shared" si="17"/>
        <v>0</v>
      </c>
      <c r="L329" s="41">
        <f t="shared" si="17"/>
        <v>1422798.88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764997</v>
      </c>
      <c r="G339" s="41">
        <f t="shared" si="20"/>
        <v>0</v>
      </c>
      <c r="H339" s="41">
        <f t="shared" si="20"/>
        <v>277172</v>
      </c>
      <c r="I339" s="41">
        <f t="shared" si="20"/>
        <v>2228453.88</v>
      </c>
      <c r="J339" s="41">
        <f t="shared" si="20"/>
        <v>27260</v>
      </c>
      <c r="K339" s="41">
        <f t="shared" si="20"/>
        <v>0</v>
      </c>
      <c r="L339" s="41">
        <f t="shared" si="20"/>
        <v>3297882.88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764997</v>
      </c>
      <c r="G353" s="41">
        <f>G339</f>
        <v>0</v>
      </c>
      <c r="H353" s="41">
        <f>H339</f>
        <v>277172</v>
      </c>
      <c r="I353" s="41">
        <f>I339</f>
        <v>2228453.88</v>
      </c>
      <c r="J353" s="41">
        <f>J339</f>
        <v>27260</v>
      </c>
      <c r="K353" s="47">
        <f>K339+K352</f>
        <v>0</v>
      </c>
      <c r="L353" s="41">
        <f>L339+L352</f>
        <v>3297882.88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234298.75</v>
      </c>
      <c r="G359" s="18"/>
      <c r="H359" s="18">
        <v>4185.68</v>
      </c>
      <c r="I359" s="18">
        <v>114948.78</v>
      </c>
      <c r="J359" s="18">
        <v>2969.5</v>
      </c>
      <c r="K359" s="18">
        <v>0</v>
      </c>
      <c r="L359" s="13">
        <f>SUM(F359:K359)</f>
        <v>356402.70999999996</v>
      </c>
      <c r="M359" s="8"/>
      <c r="N359" s="264"/>
    </row>
    <row r="360" spans="1:22" s="3" customFormat="1" ht="12.2" customHeight="1" x14ac:dyDescent="0.15">
      <c r="A360" s="1" t="s">
        <v>542</v>
      </c>
      <c r="B360" s="2" t="s">
        <v>366</v>
      </c>
      <c r="C360" s="6">
        <v>2</v>
      </c>
      <c r="D360" s="2" t="s">
        <v>431</v>
      </c>
      <c r="E360" s="6"/>
      <c r="F360" s="18">
        <v>84614.78</v>
      </c>
      <c r="G360" s="18"/>
      <c r="H360" s="18">
        <v>1339.42</v>
      </c>
      <c r="I360" s="18">
        <f>36783.61+20000</f>
        <v>56783.61</v>
      </c>
      <c r="J360" s="18">
        <f>950.24+0.88</f>
        <v>951.12</v>
      </c>
      <c r="K360" s="18">
        <v>0</v>
      </c>
      <c r="L360" s="19">
        <f>SUM(F360:K360)</f>
        <v>143688.93</v>
      </c>
      <c r="M360" s="8"/>
      <c r="N360" s="264"/>
    </row>
    <row r="361" spans="1:22" s="3" customFormat="1" ht="12.2" customHeight="1" x14ac:dyDescent="0.15">
      <c r="A361" s="3" t="s">
        <v>543</v>
      </c>
      <c r="B361" s="2" t="s">
        <v>366</v>
      </c>
      <c r="C361" s="6">
        <v>3</v>
      </c>
      <c r="D361" s="2" t="s">
        <v>431</v>
      </c>
      <c r="E361" s="6"/>
      <c r="F361" s="18">
        <v>230350.67</v>
      </c>
      <c r="G361" s="18"/>
      <c r="H361" s="18">
        <v>2846.26</v>
      </c>
      <c r="I361" s="18">
        <f>78165.17+45953</f>
        <v>124118.17</v>
      </c>
      <c r="J361" s="18">
        <v>2019.26</v>
      </c>
      <c r="K361" s="18">
        <v>0</v>
      </c>
      <c r="L361" s="19">
        <f>SUM(F361:K361)</f>
        <v>359334.36000000004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549264.20000000007</v>
      </c>
      <c r="G363" s="47">
        <f t="shared" si="22"/>
        <v>0</v>
      </c>
      <c r="H363" s="47">
        <f t="shared" si="22"/>
        <v>8371.36</v>
      </c>
      <c r="I363" s="47">
        <f t="shared" si="22"/>
        <v>295850.56</v>
      </c>
      <c r="J363" s="47">
        <f t="shared" si="22"/>
        <v>5939.88</v>
      </c>
      <c r="K363" s="47">
        <f t="shared" si="22"/>
        <v>0</v>
      </c>
      <c r="L363" s="47">
        <f t="shared" si="22"/>
        <v>859426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92916.09</v>
      </c>
      <c r="G368" s="18">
        <f>29733.15+20000</f>
        <v>49733.15</v>
      </c>
      <c r="H368" s="18">
        <f>63182.94+45953</f>
        <v>109135.94</v>
      </c>
      <c r="I368" s="56">
        <f>SUM(F368:H368)</f>
        <v>251785.18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22032.69</v>
      </c>
      <c r="G369" s="63">
        <v>7050.46</v>
      </c>
      <c r="H369" s="63">
        <v>14982.23</v>
      </c>
      <c r="I369" s="56">
        <f>SUM(F369:H369)</f>
        <v>44065.38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114948.78</v>
      </c>
      <c r="G370" s="47">
        <f>SUM(G368:G369)</f>
        <v>56783.61</v>
      </c>
      <c r="H370" s="47">
        <f>SUM(H368:H369)</f>
        <v>124118.17</v>
      </c>
      <c r="I370" s="47">
        <f>SUM(I368:I369)</f>
        <v>295850.56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150000</v>
      </c>
      <c r="H390" s="18">
        <v>3043</v>
      </c>
      <c r="I390" s="18"/>
      <c r="J390" s="24" t="s">
        <v>288</v>
      </c>
      <c r="K390" s="24" t="s">
        <v>288</v>
      </c>
      <c r="L390" s="56">
        <f t="shared" si="25"/>
        <v>153043</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150000</v>
      </c>
      <c r="H394" s="139">
        <f>SUM(H388:H393)</f>
        <v>3043</v>
      </c>
      <c r="I394" s="65">
        <f>SUM(I388:I393)</f>
        <v>0</v>
      </c>
      <c r="J394" s="45" t="s">
        <v>288</v>
      </c>
      <c r="K394" s="45" t="s">
        <v>288</v>
      </c>
      <c r="L394" s="47">
        <f>SUM(L388:L393)</f>
        <v>153043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150000</v>
      </c>
      <c r="H409" s="47">
        <f>H394+H402+H408</f>
        <v>3043</v>
      </c>
      <c r="I409" s="47">
        <f>I394+I402+I408</f>
        <v>0</v>
      </c>
      <c r="J409" s="24" t="s">
        <v>288</v>
      </c>
      <c r="K409" s="24" t="s">
        <v>288</v>
      </c>
      <c r="L409" s="47">
        <f>L394+L402+L408</f>
        <v>153043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t="s">
        <v>1673</v>
      </c>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v>3713</v>
      </c>
      <c r="I432" s="18"/>
      <c r="J432" s="18"/>
      <c r="K432" s="18"/>
      <c r="L432" s="56">
        <f>SUM(F432:K432)</f>
        <v>3713</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3713</v>
      </c>
      <c r="I434" s="47">
        <f t="shared" si="31"/>
        <v>0</v>
      </c>
      <c r="J434" s="47">
        <f t="shared" si="31"/>
        <v>0</v>
      </c>
      <c r="K434" s="47">
        <f t="shared" si="31"/>
        <v>0</v>
      </c>
      <c r="L434" s="47">
        <f t="shared" si="31"/>
        <v>3713</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3713</v>
      </c>
      <c r="I435" s="47">
        <f t="shared" si="32"/>
        <v>0</v>
      </c>
      <c r="J435" s="47">
        <f t="shared" si="32"/>
        <v>0</v>
      </c>
      <c r="K435" s="47">
        <f t="shared" si="32"/>
        <v>0</v>
      </c>
      <c r="L435" s="47">
        <f t="shared" si="32"/>
        <v>3713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1132958</v>
      </c>
      <c r="G442" s="18"/>
      <c r="H442" s="18"/>
      <c r="I442" s="56">
        <f t="shared" si="33"/>
        <v>1132958</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1132958</v>
      </c>
      <c r="G447" s="13">
        <f>SUM(G440:G446)</f>
        <v>0</v>
      </c>
      <c r="H447" s="13">
        <f>SUM(H440:H446)</f>
        <v>0</v>
      </c>
      <c r="I447" s="13">
        <f>SUM(I440:I446)</f>
        <v>1132958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1132958</v>
      </c>
      <c r="G460" s="18"/>
      <c r="H460" s="18"/>
      <c r="I460" s="56">
        <f t="shared" si="34"/>
        <v>1132958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1132958</v>
      </c>
      <c r="G461" s="83">
        <f>SUM(G455:G460)</f>
        <v>0</v>
      </c>
      <c r="H461" s="83">
        <f>SUM(H455:H460)</f>
        <v>0</v>
      </c>
      <c r="I461" s="83">
        <f>SUM(I455:I460)</f>
        <v>1132958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1132958</v>
      </c>
      <c r="G462" s="42">
        <f>G453+G461</f>
        <v>0</v>
      </c>
      <c r="H462" s="42">
        <f>H453+H461</f>
        <v>0</v>
      </c>
      <c r="I462" s="42">
        <f>I453+I461</f>
        <v>1132958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4961118.12+150000</f>
        <v>5111118.12</v>
      </c>
      <c r="G466" s="18">
        <v>50823</v>
      </c>
      <c r="H466" s="18">
        <v>97930.880000000005</v>
      </c>
      <c r="I466" s="18"/>
      <c r="J466" s="18">
        <f>983628</f>
        <v>983628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74416896</v>
      </c>
      <c r="G469" s="18">
        <v>808603</v>
      </c>
      <c r="H469" s="18">
        <v>3207897.88</v>
      </c>
      <c r="I469" s="18"/>
      <c r="J469" s="18">
        <f>3043+150000</f>
        <v>153043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74416896</v>
      </c>
      <c r="G471" s="53">
        <f>SUM(G469:G470)</f>
        <v>808603</v>
      </c>
      <c r="H471" s="53">
        <f>SUM(H469:H470)</f>
        <v>3207897.88</v>
      </c>
      <c r="I471" s="53">
        <f>SUM(I469:I470)</f>
        <v>0</v>
      </c>
      <c r="J471" s="53">
        <f>SUM(J469:J470)</f>
        <v>153043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70417358.64+150000</f>
        <v>70567358.640000001</v>
      </c>
      <c r="G473" s="18">
        <v>859426</v>
      </c>
      <c r="H473" s="18">
        <v>3297882.88</v>
      </c>
      <c r="I473" s="18"/>
      <c r="J473" s="18">
        <v>3713</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70567358.640000001</v>
      </c>
      <c r="G475" s="53">
        <f>SUM(G473:G474)</f>
        <v>859426</v>
      </c>
      <c r="H475" s="53">
        <f>SUM(H473:H474)</f>
        <v>3297882.88</v>
      </c>
      <c r="I475" s="53">
        <f>SUM(I473:I474)</f>
        <v>0</v>
      </c>
      <c r="J475" s="53">
        <f>SUM(J473:J474)</f>
        <v>3713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8960655.4800000042</v>
      </c>
      <c r="G477" s="53">
        <f>(G466+G471)- G475</f>
        <v>0</v>
      </c>
      <c r="H477" s="53">
        <f>(H466+H471)- H475</f>
        <v>7945.8799999998882</v>
      </c>
      <c r="I477" s="53">
        <f>(I466+I471)- I475</f>
        <v>0</v>
      </c>
      <c r="J477" s="53">
        <f>(J466+J471)- J475</f>
        <v>1132958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t="s">
        <v>1675</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t="s">
        <v>1677</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5915851</v>
      </c>
      <c r="G494" s="18">
        <v>15525000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5.31</v>
      </c>
      <c r="G495" s="18">
        <v>3.52</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f>945000-296000-295000</f>
        <v>354000</v>
      </c>
      <c r="G496" s="18">
        <f>4650000-775000-775000-775000</f>
        <v>2325000</v>
      </c>
      <c r="H496" s="18"/>
      <c r="I496" s="18"/>
      <c r="J496" s="18"/>
      <c r="K496" s="53">
        <f>SUM(F496:J496)</f>
        <v>2679000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354000</v>
      </c>
      <c r="G498" s="18">
        <v>775000</v>
      </c>
      <c r="H498" s="18"/>
      <c r="I498" s="18"/>
      <c r="J498" s="18"/>
      <c r="K498" s="53">
        <f t="shared" si="35"/>
        <v>1129000</v>
      </c>
      <c r="L498" s="24" t="s">
        <v>288</v>
      </c>
      <c r="N498" s="263"/>
    </row>
    <row r="499" spans="1:14" s="52" customFormat="1" ht="12.2" customHeight="1" x14ac:dyDescent="0.2">
      <c r="A499" s="200" t="s">
        <v>622</v>
      </c>
      <c r="B499" s="201">
        <v>20</v>
      </c>
      <c r="C499" s="202">
        <v>9</v>
      </c>
      <c r="D499" s="203" t="s">
        <v>432</v>
      </c>
      <c r="E499" s="202"/>
      <c r="F499" s="18">
        <v>0</v>
      </c>
      <c r="G499" s="18">
        <f>4650000-775000-775000-775000</f>
        <v>2325000</v>
      </c>
      <c r="H499" s="204"/>
      <c r="I499" s="204"/>
      <c r="J499" s="204"/>
      <c r="K499" s="205">
        <f t="shared" si="35"/>
        <v>2325000</v>
      </c>
      <c r="L499" s="206" t="s">
        <v>288</v>
      </c>
      <c r="N499" s="263"/>
    </row>
    <row r="500" spans="1:14" s="52" customFormat="1" ht="12.2" customHeight="1" thickBot="1" x14ac:dyDescent="0.25">
      <c r="A500" s="22" t="s">
        <v>623</v>
      </c>
      <c r="B500" s="75">
        <v>20</v>
      </c>
      <c r="C500" s="115">
        <v>10</v>
      </c>
      <c r="D500" s="2" t="s">
        <v>432</v>
      </c>
      <c r="E500" s="115"/>
      <c r="F500" s="18">
        <v>0</v>
      </c>
      <c r="G500" s="18">
        <f>833125-154032</f>
        <v>679093</v>
      </c>
      <c r="H500" s="18"/>
      <c r="I500" s="18"/>
      <c r="J500" s="18"/>
      <c r="K500" s="53">
        <f t="shared" si="35"/>
        <v>679093</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3004093</v>
      </c>
      <c r="H501" s="42">
        <f>SUM(H499:H500)</f>
        <v>0</v>
      </c>
      <c r="I501" s="42">
        <f>SUM(I499:I500)</f>
        <v>0</v>
      </c>
      <c r="J501" s="42">
        <f>SUM(J499:J500)</f>
        <v>0</v>
      </c>
      <c r="K501" s="42">
        <f t="shared" si="35"/>
        <v>3004093</v>
      </c>
      <c r="L501" s="45" t="s">
        <v>288</v>
      </c>
      <c r="N501" s="263"/>
    </row>
    <row r="502" spans="1:14" s="52" customFormat="1" ht="12.2" customHeight="1" x14ac:dyDescent="0.2">
      <c r="A502" s="200" t="s">
        <v>651</v>
      </c>
      <c r="B502" s="201">
        <v>20</v>
      </c>
      <c r="C502" s="202">
        <v>12</v>
      </c>
      <c r="D502" s="203" t="s">
        <v>432</v>
      </c>
      <c r="E502" s="202"/>
      <c r="F502" s="204"/>
      <c r="G502" s="204">
        <v>775000</v>
      </c>
      <c r="H502" s="204"/>
      <c r="I502" s="204"/>
      <c r="J502" s="204"/>
      <c r="K502" s="205">
        <f t="shared" si="35"/>
        <v>775000</v>
      </c>
      <c r="L502" s="206" t="s">
        <v>288</v>
      </c>
      <c r="N502" s="263"/>
    </row>
    <row r="503" spans="1:14" s="52" customFormat="1" ht="12.2" customHeight="1" thickBot="1" x14ac:dyDescent="0.25">
      <c r="A503" s="22" t="s">
        <v>625</v>
      </c>
      <c r="B503" s="75">
        <v>20</v>
      </c>
      <c r="C503" s="115">
        <v>13</v>
      </c>
      <c r="D503" s="2" t="s">
        <v>432</v>
      </c>
      <c r="E503" s="115"/>
      <c r="F503" s="18"/>
      <c r="G503" s="18">
        <f>148556-32458</f>
        <v>116098</v>
      </c>
      <c r="H503" s="18"/>
      <c r="I503" s="18"/>
      <c r="J503" s="18"/>
      <c r="K503" s="53">
        <f t="shared" si="35"/>
        <v>116098</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891098</v>
      </c>
      <c r="H504" s="42">
        <f>SUM(H502:H503)</f>
        <v>0</v>
      </c>
      <c r="I504" s="42">
        <f>SUM(I502:I503)</f>
        <v>0</v>
      </c>
      <c r="J504" s="42">
        <f>SUM(J502:J503)</f>
        <v>0</v>
      </c>
      <c r="K504" s="42">
        <f t="shared" si="35"/>
        <v>891098</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4125118.98</v>
      </c>
      <c r="G522" s="18">
        <v>2522991.2062405758</v>
      </c>
      <c r="H522" s="18">
        <v>796567.43</v>
      </c>
      <c r="I522" s="18">
        <v>45257.4</v>
      </c>
      <c r="J522" s="18">
        <v>0</v>
      </c>
      <c r="K522" s="18">
        <v>0</v>
      </c>
      <c r="L522" s="88">
        <f>SUM(F522:K522)</f>
        <v>7489935.0162405763</v>
      </c>
      <c r="N522" s="263"/>
    </row>
    <row r="523" spans="1:14" s="52" customFormat="1" ht="12.2" customHeight="1" x14ac:dyDescent="0.2">
      <c r="A523" s="22" t="s">
        <v>634</v>
      </c>
      <c r="B523" s="105">
        <v>21</v>
      </c>
      <c r="C523" s="115">
        <v>2</v>
      </c>
      <c r="D523" s="2" t="s">
        <v>432</v>
      </c>
      <c r="E523" s="115"/>
      <c r="F523" s="18">
        <v>1099923.2</v>
      </c>
      <c r="G523" s="18">
        <v>717037.56778263568</v>
      </c>
      <c r="H523" s="18">
        <v>461758.55</v>
      </c>
      <c r="I523" s="18">
        <v>818.78</v>
      </c>
      <c r="J523" s="18">
        <v>0</v>
      </c>
      <c r="K523" s="18">
        <v>0</v>
      </c>
      <c r="L523" s="88">
        <f>SUM(F523:K523)</f>
        <v>2279538.0977826351</v>
      </c>
      <c r="N523" s="263"/>
    </row>
    <row r="524" spans="1:14" s="52" customFormat="1" ht="12.2" customHeight="1" thickBot="1" x14ac:dyDescent="0.25">
      <c r="A524" s="22" t="s">
        <v>635</v>
      </c>
      <c r="B524" s="105">
        <v>21</v>
      </c>
      <c r="C524" s="115">
        <v>3</v>
      </c>
      <c r="D524" s="2" t="s">
        <v>432</v>
      </c>
      <c r="E524" s="115"/>
      <c r="F524" s="18">
        <v>1949628.67</v>
      </c>
      <c r="G524" s="18">
        <v>1315488.1285627247</v>
      </c>
      <c r="H524" s="18">
        <v>2726970.38</v>
      </c>
      <c r="I524" s="18">
        <v>1739.91</v>
      </c>
      <c r="J524" s="18">
        <v>0</v>
      </c>
      <c r="K524" s="18">
        <v>0</v>
      </c>
      <c r="L524" s="88">
        <f>SUM(F524:K524)</f>
        <v>5993827.0885627251</v>
      </c>
      <c r="N524" s="263"/>
    </row>
    <row r="525" spans="1:14" s="52" customFormat="1" ht="12.2" customHeight="1" thickTop="1" x14ac:dyDescent="0.2">
      <c r="A525" s="139" t="s">
        <v>63</v>
      </c>
      <c r="B525" s="107">
        <v>21</v>
      </c>
      <c r="C525" s="195">
        <v>4</v>
      </c>
      <c r="D525" s="196" t="s">
        <v>432</v>
      </c>
      <c r="E525" s="195"/>
      <c r="F525" s="108">
        <f>SUM(F522:F524)</f>
        <v>7174670.8499999996</v>
      </c>
      <c r="G525" s="108">
        <f t="shared" ref="G525:L525" si="36">SUM(G522:G524)</f>
        <v>4555516.9025859367</v>
      </c>
      <c r="H525" s="108">
        <f t="shared" si="36"/>
        <v>3985296.36</v>
      </c>
      <c r="I525" s="108">
        <f t="shared" si="36"/>
        <v>47816.090000000004</v>
      </c>
      <c r="J525" s="108">
        <f t="shared" si="36"/>
        <v>0</v>
      </c>
      <c r="K525" s="108">
        <f t="shared" si="36"/>
        <v>0</v>
      </c>
      <c r="L525" s="89">
        <f t="shared" si="36"/>
        <v>15763300.202585937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940879.73927500006</v>
      </c>
      <c r="G527" s="18">
        <v>7056.2701999999999</v>
      </c>
      <c r="H527" s="18">
        <v>802862.06735000003</v>
      </c>
      <c r="I527" s="18">
        <v>4872.8424500000001</v>
      </c>
      <c r="J527" s="18"/>
      <c r="K527" s="18"/>
      <c r="L527" s="88">
        <f>SUM(F527:K527)</f>
        <v>1755670.9192750002</v>
      </c>
      <c r="M527" s="8"/>
      <c r="N527" s="264"/>
    </row>
    <row r="528" spans="1:14" s="3" customFormat="1" ht="12.2" customHeight="1" x14ac:dyDescent="0.15">
      <c r="A528" s="22" t="s">
        <v>634</v>
      </c>
      <c r="B528" s="105">
        <v>21</v>
      </c>
      <c r="C528" s="115">
        <v>6</v>
      </c>
      <c r="D528" s="2" t="s">
        <v>432</v>
      </c>
      <c r="E528" s="115"/>
      <c r="F528" s="18">
        <v>144195.85250000001</v>
      </c>
      <c r="G528" s="18">
        <v>2096.8319750000001</v>
      </c>
      <c r="H528" s="18">
        <v>178223.26322499997</v>
      </c>
      <c r="I528" s="18">
        <v>0</v>
      </c>
      <c r="J528" s="18"/>
      <c r="K528" s="18"/>
      <c r="L528" s="88">
        <f>SUM(F528:K528)</f>
        <v>324515.94770000002</v>
      </c>
      <c r="M528" s="8"/>
      <c r="N528" s="264"/>
    </row>
    <row r="529" spans="1:14" s="3" customFormat="1" ht="12.2" customHeight="1" thickBot="1" x14ac:dyDescent="0.2">
      <c r="A529" s="22" t="s">
        <v>635</v>
      </c>
      <c r="B529" s="118">
        <v>21</v>
      </c>
      <c r="C529" s="118">
        <v>7</v>
      </c>
      <c r="D529" s="2" t="s">
        <v>432</v>
      </c>
      <c r="E529" s="118"/>
      <c r="F529" s="18">
        <v>166741.57412499998</v>
      </c>
      <c r="G529" s="18">
        <v>4596.7003249999998</v>
      </c>
      <c r="H529" s="18">
        <v>380452.84322500002</v>
      </c>
      <c r="I529" s="18">
        <v>0</v>
      </c>
      <c r="J529" s="18"/>
      <c r="K529" s="18"/>
      <c r="L529" s="88">
        <f>SUM(F529:K529)</f>
        <v>551791.11767499999</v>
      </c>
      <c r="M529" s="8"/>
      <c r="N529" s="264"/>
    </row>
    <row r="530" spans="1:14" s="3" customFormat="1" ht="12.2" customHeight="1" thickTop="1" x14ac:dyDescent="0.15">
      <c r="A530" s="139" t="s">
        <v>65</v>
      </c>
      <c r="B530" s="107">
        <v>21</v>
      </c>
      <c r="C530" s="107">
        <v>8</v>
      </c>
      <c r="D530" s="158" t="s">
        <v>432</v>
      </c>
      <c r="E530" s="107"/>
      <c r="F530" s="89">
        <f>SUM(F527:F529)</f>
        <v>1251817.1659000001</v>
      </c>
      <c r="G530" s="89">
        <f t="shared" ref="G530:L530" si="37">SUM(G527:G529)</f>
        <v>13749.8025</v>
      </c>
      <c r="H530" s="89">
        <f t="shared" si="37"/>
        <v>1361538.1738</v>
      </c>
      <c r="I530" s="89">
        <f t="shared" si="37"/>
        <v>4872.8424500000001</v>
      </c>
      <c r="J530" s="89">
        <f t="shared" si="37"/>
        <v>0</v>
      </c>
      <c r="K530" s="89">
        <f t="shared" si="37"/>
        <v>0</v>
      </c>
      <c r="L530" s="89">
        <f t="shared" si="37"/>
        <v>2631977.98465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201121.717825</v>
      </c>
      <c r="G532" s="18">
        <v>13976.250399999999</v>
      </c>
      <c r="H532" s="18">
        <v>4441.2574500000001</v>
      </c>
      <c r="I532" s="18">
        <v>13600.7508</v>
      </c>
      <c r="J532" s="18">
        <v>10680.479425000001</v>
      </c>
      <c r="K532" s="18"/>
      <c r="L532" s="88">
        <f>SUM(F532:K532)</f>
        <v>243820.4559</v>
      </c>
      <c r="M532" s="8"/>
      <c r="N532" s="264"/>
    </row>
    <row r="533" spans="1:14" s="3" customFormat="1" ht="12.2" customHeight="1" x14ac:dyDescent="0.15">
      <c r="A533" s="22" t="s">
        <v>634</v>
      </c>
      <c r="B533" s="105">
        <v>21</v>
      </c>
      <c r="C533" s="105">
        <v>10</v>
      </c>
      <c r="D533" s="2" t="s">
        <v>432</v>
      </c>
      <c r="E533" s="105"/>
      <c r="F533" s="18">
        <v>103213.79022499999</v>
      </c>
      <c r="G533" s="18">
        <v>26500.475399999999</v>
      </c>
      <c r="H533" s="18">
        <v>2279.212775</v>
      </c>
      <c r="I533" s="18">
        <v>6979.7825999999995</v>
      </c>
      <c r="J533" s="18">
        <v>5481.1191749999998</v>
      </c>
      <c r="K533" s="18"/>
      <c r="L533" s="88">
        <f>SUM(F533:K533)</f>
        <v>144454.380175</v>
      </c>
      <c r="M533" s="8"/>
      <c r="N533" s="264"/>
    </row>
    <row r="534" spans="1:14" s="3" customFormat="1" ht="12.2" customHeight="1" thickBot="1" x14ac:dyDescent="0.2">
      <c r="A534" s="22" t="s">
        <v>635</v>
      </c>
      <c r="B534" s="105">
        <v>21</v>
      </c>
      <c r="C534" s="105">
        <v>11</v>
      </c>
      <c r="D534" s="2" t="s">
        <v>432</v>
      </c>
      <c r="E534" s="105"/>
      <c r="F534" s="18">
        <v>30670.835824999998</v>
      </c>
      <c r="G534" s="18">
        <v>11597.194874999999</v>
      </c>
      <c r="H534" s="18">
        <v>677.22707500000001</v>
      </c>
      <c r="I534" s="18">
        <v>2074.096325</v>
      </c>
      <c r="J534" s="18">
        <v>1628.758425</v>
      </c>
      <c r="K534" s="18"/>
      <c r="L534" s="88">
        <f>SUM(F534:K534)</f>
        <v>46648.112524999997</v>
      </c>
      <c r="M534" s="8"/>
      <c r="N534" s="264"/>
    </row>
    <row r="535" spans="1:14" s="3" customFormat="1" ht="12.2" customHeight="1" thickTop="1" x14ac:dyDescent="0.15">
      <c r="A535" s="139" t="s">
        <v>67</v>
      </c>
      <c r="B535" s="107">
        <v>21</v>
      </c>
      <c r="C535" s="107">
        <v>12</v>
      </c>
      <c r="D535" s="158" t="s">
        <v>432</v>
      </c>
      <c r="E535" s="107"/>
      <c r="F535" s="89">
        <f>SUM(F532:F534)</f>
        <v>335006.34387500002</v>
      </c>
      <c r="G535" s="89">
        <f t="shared" ref="G535:L535" si="38">SUM(G532:G534)</f>
        <v>52073.920675000001</v>
      </c>
      <c r="H535" s="89">
        <f t="shared" si="38"/>
        <v>7397.6972999999998</v>
      </c>
      <c r="I535" s="89">
        <f t="shared" si="38"/>
        <v>22654.629724999999</v>
      </c>
      <c r="J535" s="89">
        <f t="shared" si="38"/>
        <v>17790.357025000001</v>
      </c>
      <c r="K535" s="89">
        <f t="shared" si="38"/>
        <v>0</v>
      </c>
      <c r="L535" s="89">
        <f t="shared" si="38"/>
        <v>434922.9486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15663</v>
      </c>
      <c r="I537" s="18"/>
      <c r="J537" s="18"/>
      <c r="K537" s="18"/>
      <c r="L537" s="88">
        <f>SUM(F537:K537)</f>
        <v>15663</v>
      </c>
      <c r="M537" s="8"/>
      <c r="N537" s="264"/>
    </row>
    <row r="538" spans="1:14" s="3" customFormat="1" ht="12.2" customHeight="1" x14ac:dyDescent="0.15">
      <c r="A538" s="22" t="s">
        <v>634</v>
      </c>
      <c r="B538" s="105">
        <v>21</v>
      </c>
      <c r="C538" s="105">
        <v>14</v>
      </c>
      <c r="D538" s="2" t="s">
        <v>432</v>
      </c>
      <c r="E538" s="105"/>
      <c r="F538" s="18"/>
      <c r="G538" s="18"/>
      <c r="H538" s="18">
        <v>25631.31</v>
      </c>
      <c r="I538" s="18"/>
      <c r="J538" s="18"/>
      <c r="K538" s="18"/>
      <c r="L538" s="88">
        <f>SUM(F538:K538)</f>
        <v>25631.31</v>
      </c>
      <c r="M538" s="8"/>
      <c r="N538" s="264"/>
    </row>
    <row r="539" spans="1:14" s="3" customFormat="1" ht="12.2" customHeight="1" thickBot="1" x14ac:dyDescent="0.2">
      <c r="A539" s="22" t="s">
        <v>635</v>
      </c>
      <c r="B539" s="105">
        <v>21</v>
      </c>
      <c r="C539" s="105">
        <v>15</v>
      </c>
      <c r="D539" s="2" t="s">
        <v>432</v>
      </c>
      <c r="E539" s="105"/>
      <c r="F539" s="18"/>
      <c r="G539" s="18"/>
      <c r="H539" s="18">
        <v>48963.33</v>
      </c>
      <c r="I539" s="18"/>
      <c r="J539" s="18"/>
      <c r="K539" s="18"/>
      <c r="L539" s="88">
        <f>SUM(F539:K539)</f>
        <v>48963.33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90257.64</v>
      </c>
      <c r="I540" s="89">
        <f t="shared" si="39"/>
        <v>0</v>
      </c>
      <c r="J540" s="89">
        <f t="shared" si="39"/>
        <v>0</v>
      </c>
      <c r="K540" s="89">
        <f t="shared" si="39"/>
        <v>0</v>
      </c>
      <c r="L540" s="89">
        <f t="shared" si="39"/>
        <v>90257.64</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307441.27</v>
      </c>
      <c r="I542" s="18"/>
      <c r="J542" s="18"/>
      <c r="K542" s="18"/>
      <c r="L542" s="88">
        <f>SUM(F542:K542)</f>
        <v>307441.27</v>
      </c>
      <c r="M542" s="8"/>
      <c r="N542" s="264"/>
    </row>
    <row r="543" spans="1:14" s="3" customFormat="1" ht="12.2" customHeight="1" x14ac:dyDescent="0.15">
      <c r="A543" s="22" t="s">
        <v>634</v>
      </c>
      <c r="B543" s="105">
        <v>21</v>
      </c>
      <c r="C543" s="105">
        <v>18</v>
      </c>
      <c r="D543" s="2" t="s">
        <v>432</v>
      </c>
      <c r="E543" s="105"/>
      <c r="F543" s="18"/>
      <c r="G543" s="18"/>
      <c r="H543" s="18">
        <v>78143.03</v>
      </c>
      <c r="I543" s="18"/>
      <c r="J543" s="18"/>
      <c r="K543" s="18"/>
      <c r="L543" s="88">
        <f>SUM(F543:K543)</f>
        <v>78143.03</v>
      </c>
      <c r="M543" s="8"/>
      <c r="N543" s="264"/>
    </row>
    <row r="544" spans="1:14" s="3" customFormat="1" ht="12.2" customHeight="1" thickBot="1" x14ac:dyDescent="0.2">
      <c r="A544" s="22" t="s">
        <v>635</v>
      </c>
      <c r="B544" s="105">
        <v>21</v>
      </c>
      <c r="C544" s="105">
        <v>19</v>
      </c>
      <c r="D544" s="2" t="s">
        <v>432</v>
      </c>
      <c r="E544" s="105"/>
      <c r="F544" s="18"/>
      <c r="G544" s="18"/>
      <c r="H544" s="18">
        <v>313140.7</v>
      </c>
      <c r="I544" s="18"/>
      <c r="J544" s="18"/>
      <c r="K544" s="18"/>
      <c r="L544" s="88">
        <f>SUM(F544:K544)</f>
        <v>313140.7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698725</v>
      </c>
      <c r="I545" s="193">
        <f t="shared" si="40"/>
        <v>0</v>
      </c>
      <c r="J545" s="193">
        <f t="shared" si="40"/>
        <v>0</v>
      </c>
      <c r="K545" s="193">
        <f t="shared" si="40"/>
        <v>0</v>
      </c>
      <c r="L545" s="193">
        <f t="shared" si="40"/>
        <v>698725</v>
      </c>
      <c r="M545" s="8"/>
      <c r="N545" s="264"/>
    </row>
    <row r="546" spans="1:14" s="3" customFormat="1" ht="12.2" customHeight="1" thickTop="1" x14ac:dyDescent="0.15">
      <c r="A546" s="98" t="s">
        <v>72</v>
      </c>
      <c r="B546" s="107">
        <v>21</v>
      </c>
      <c r="C546" s="107">
        <v>21</v>
      </c>
      <c r="D546" s="158" t="s">
        <v>432</v>
      </c>
      <c r="E546" s="107"/>
      <c r="F546" s="89">
        <f>F525+F530+F535+F540+F545</f>
        <v>8761494.3597749993</v>
      </c>
      <c r="G546" s="89">
        <f t="shared" ref="G546:L546" si="41">G525+G530+G535+G540+G545</f>
        <v>4621340.6257609371</v>
      </c>
      <c r="H546" s="89">
        <f t="shared" si="41"/>
        <v>6143214.8711000001</v>
      </c>
      <c r="I546" s="89">
        <f t="shared" si="41"/>
        <v>75343.562174999999</v>
      </c>
      <c r="J546" s="89">
        <f t="shared" si="41"/>
        <v>17790.357025000001</v>
      </c>
      <c r="K546" s="89">
        <f t="shared" si="41"/>
        <v>0</v>
      </c>
      <c r="L546" s="89">
        <f t="shared" si="41"/>
        <v>19619183.775835939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7489935.0162405763</v>
      </c>
      <c r="G550" s="87">
        <f>L527</f>
        <v>1755670.9192750002</v>
      </c>
      <c r="H550" s="87">
        <f>L532</f>
        <v>243820.4559</v>
      </c>
      <c r="I550" s="87">
        <f>L537</f>
        <v>15663</v>
      </c>
      <c r="J550" s="87">
        <f>L542</f>
        <v>307441.27</v>
      </c>
      <c r="K550" s="87">
        <f>SUM(F550:J550)</f>
        <v>9812530.6614155769</v>
      </c>
      <c r="L550" s="24" t="s">
        <v>288</v>
      </c>
      <c r="M550" s="8"/>
      <c r="N550" s="264"/>
    </row>
    <row r="551" spans="1:14" s="3" customFormat="1" ht="12.2" customHeight="1" x14ac:dyDescent="0.15">
      <c r="A551" s="22" t="s">
        <v>634</v>
      </c>
      <c r="B551" s="75">
        <v>21</v>
      </c>
      <c r="C551" s="75">
        <v>23</v>
      </c>
      <c r="D551" s="2" t="s">
        <v>432</v>
      </c>
      <c r="E551" s="75"/>
      <c r="F551" s="87">
        <f>L523</f>
        <v>2279538.0977826351</v>
      </c>
      <c r="G551" s="87">
        <f>L528</f>
        <v>324515.94770000002</v>
      </c>
      <c r="H551" s="87">
        <f>L533</f>
        <v>144454.380175</v>
      </c>
      <c r="I551" s="87">
        <f>L538</f>
        <v>25631.31</v>
      </c>
      <c r="J551" s="87">
        <f>L543</f>
        <v>78143.03</v>
      </c>
      <c r="K551" s="87">
        <f>SUM(F551:J551)</f>
        <v>2852282.7656576349</v>
      </c>
      <c r="L551" s="24" t="s">
        <v>288</v>
      </c>
      <c r="M551" s="8"/>
      <c r="N551" s="264"/>
    </row>
    <row r="552" spans="1:14" s="3" customFormat="1" ht="12.2" customHeight="1" thickBot="1" x14ac:dyDescent="0.2">
      <c r="A552" s="22" t="s">
        <v>635</v>
      </c>
      <c r="B552" s="75">
        <v>21</v>
      </c>
      <c r="C552" s="75">
        <v>24</v>
      </c>
      <c r="D552" s="2" t="s">
        <v>432</v>
      </c>
      <c r="E552" s="75"/>
      <c r="F552" s="87">
        <f>L524</f>
        <v>5993827.0885627251</v>
      </c>
      <c r="G552" s="87">
        <f>L529</f>
        <v>551791.11767499999</v>
      </c>
      <c r="H552" s="87">
        <f>L534</f>
        <v>46648.112524999997</v>
      </c>
      <c r="I552" s="87">
        <f>L539</f>
        <v>48963.33</v>
      </c>
      <c r="J552" s="87">
        <f>L544</f>
        <v>313140.7</v>
      </c>
      <c r="K552" s="87">
        <f>SUM(F552:J552)</f>
        <v>6954370.3487627255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15763300.202585937</v>
      </c>
      <c r="G553" s="89">
        <f t="shared" si="42"/>
        <v>2631977.98465</v>
      </c>
      <c r="H553" s="89">
        <f t="shared" si="42"/>
        <v>434922.9486</v>
      </c>
      <c r="I553" s="89">
        <f t="shared" si="42"/>
        <v>90257.64</v>
      </c>
      <c r="J553" s="89">
        <f t="shared" si="42"/>
        <v>698725</v>
      </c>
      <c r="K553" s="89">
        <f t="shared" si="42"/>
        <v>19619183.775835939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54956.33</v>
      </c>
      <c r="G568" s="18"/>
      <c r="H568" s="18">
        <v>3896.33</v>
      </c>
      <c r="I568" s="18"/>
      <c r="J568" s="18"/>
      <c r="K568" s="18"/>
      <c r="L568" s="88">
        <f>SUM(F568:K568)</f>
        <v>58852.66</v>
      </c>
      <c r="M568" s="8"/>
      <c r="N568" s="264"/>
    </row>
    <row r="569" spans="1:14" s="3" customFormat="1" ht="12.2" customHeight="1" x14ac:dyDescent="0.15">
      <c r="A569" s="22" t="s">
        <v>634</v>
      </c>
      <c r="B569" s="105">
        <v>22</v>
      </c>
      <c r="C569" s="105">
        <v>10</v>
      </c>
      <c r="D569" s="2" t="s">
        <v>432</v>
      </c>
      <c r="E569" s="105"/>
      <c r="F569" s="18">
        <v>65363.23</v>
      </c>
      <c r="G569" s="18"/>
      <c r="H569" s="18">
        <v>3056.56</v>
      </c>
      <c r="I569" s="18"/>
      <c r="J569" s="18"/>
      <c r="K569" s="18"/>
      <c r="L569" s="88">
        <f>SUM(F569:K569)</f>
        <v>68419.790000000008</v>
      </c>
      <c r="M569" s="8"/>
      <c r="N569" s="264"/>
    </row>
    <row r="570" spans="1:14" s="3" customFormat="1" ht="12.2" customHeight="1" thickBot="1" x14ac:dyDescent="0.2">
      <c r="A570" s="22" t="s">
        <v>635</v>
      </c>
      <c r="B570" s="105">
        <v>22</v>
      </c>
      <c r="C570" s="105">
        <v>11</v>
      </c>
      <c r="D570" s="2" t="s">
        <v>432</v>
      </c>
      <c r="E570" s="105"/>
      <c r="F570" s="18">
        <v>102132.22</v>
      </c>
      <c r="G570" s="18"/>
      <c r="H570" s="18">
        <v>16227.95</v>
      </c>
      <c r="I570" s="18"/>
      <c r="J570" s="18"/>
      <c r="K570" s="18"/>
      <c r="L570" s="88">
        <f>SUM(F570:K570)</f>
        <v>118360.17</v>
      </c>
      <c r="M570" s="8"/>
      <c r="N570" s="264"/>
    </row>
    <row r="571" spans="1:14" s="3" customFormat="1" ht="12.2" customHeight="1" thickTop="1" thickBot="1" x14ac:dyDescent="0.2">
      <c r="A571" s="130" t="s">
        <v>67</v>
      </c>
      <c r="B571" s="191">
        <v>22</v>
      </c>
      <c r="C571" s="191">
        <v>12</v>
      </c>
      <c r="D571" s="197" t="s">
        <v>432</v>
      </c>
      <c r="E571" s="191"/>
      <c r="F571" s="193">
        <f>SUM(F568:F570)</f>
        <v>222451.78</v>
      </c>
      <c r="G571" s="193">
        <f t="shared" ref="G571:L571" si="45">SUM(G568:G570)</f>
        <v>0</v>
      </c>
      <c r="H571" s="193">
        <f t="shared" si="45"/>
        <v>23180.84</v>
      </c>
      <c r="I571" s="193">
        <f t="shared" si="45"/>
        <v>0</v>
      </c>
      <c r="J571" s="193">
        <f t="shared" si="45"/>
        <v>0</v>
      </c>
      <c r="K571" s="193">
        <f t="shared" si="45"/>
        <v>0</v>
      </c>
      <c r="L571" s="193">
        <f t="shared" si="45"/>
        <v>245632.62</v>
      </c>
      <c r="M571" s="8"/>
      <c r="N571" s="264"/>
    </row>
    <row r="572" spans="1:14" s="3" customFormat="1" ht="12.2" customHeight="1" thickTop="1" x14ac:dyDescent="0.15">
      <c r="A572" s="98" t="s">
        <v>88</v>
      </c>
      <c r="B572" s="107">
        <v>22</v>
      </c>
      <c r="C572" s="107">
        <v>13</v>
      </c>
      <c r="D572" s="158" t="s">
        <v>432</v>
      </c>
      <c r="E572" s="107"/>
      <c r="F572" s="89">
        <f>F561+F566+F571</f>
        <v>222451.78</v>
      </c>
      <c r="G572" s="89">
        <f t="shared" ref="G572:L572" si="46">G561+G566+G571</f>
        <v>0</v>
      </c>
      <c r="H572" s="89">
        <f t="shared" si="46"/>
        <v>23180.84</v>
      </c>
      <c r="I572" s="89">
        <f t="shared" si="46"/>
        <v>0</v>
      </c>
      <c r="J572" s="89">
        <f t="shared" si="46"/>
        <v>0</v>
      </c>
      <c r="K572" s="89">
        <f t="shared" si="46"/>
        <v>0</v>
      </c>
      <c r="L572" s="89">
        <f t="shared" si="46"/>
        <v>245632.62</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8793.2900000000009</v>
      </c>
      <c r="I576" s="87">
        <f>SUM(F576:H576)</f>
        <v>8793.2900000000009</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f>19875+158385.2</f>
        <v>178260.2</v>
      </c>
      <c r="H580" s="18">
        <v>1223136.1599999999</v>
      </c>
      <c r="I580" s="87">
        <f t="shared" si="47"/>
        <v>1401396.3599999999</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306333.53000000003</v>
      </c>
      <c r="G583" s="18">
        <v>126463.24</v>
      </c>
      <c r="H583" s="18">
        <v>1164855.6299999999</v>
      </c>
      <c r="I583" s="87">
        <f t="shared" si="47"/>
        <v>1597652.4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1566137.33-307441.27+50006.23-0.01</f>
        <v>1308702.28</v>
      </c>
      <c r="I592" s="18">
        <f>482196.1-76143.03-5828.83+16411.96</f>
        <v>416636.19999999995</v>
      </c>
      <c r="J592" s="18">
        <f>1231218.29-313140.7-39634.72-1584.27-35336.05-70672.1+144324.2-2980</f>
        <v>912194.65000000014</v>
      </c>
      <c r="K592" s="104">
        <f t="shared" ref="K592:K598" si="48">SUM(H592:J592)</f>
        <v>2637533.13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307441.27</v>
      </c>
      <c r="I593" s="18">
        <v>76143.03</v>
      </c>
      <c r="J593" s="18">
        <v>313140.7</v>
      </c>
      <c r="K593" s="104">
        <f t="shared" si="48"/>
        <v>696725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5818.83</v>
      </c>
      <c r="J595" s="18">
        <v>39634.720000000001</v>
      </c>
      <c r="K595" s="104">
        <f t="shared" si="48"/>
        <v>45453.55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v>1584.27</v>
      </c>
      <c r="K596" s="104">
        <f t="shared" si="48"/>
        <v>1584.27</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1616143.55</v>
      </c>
      <c r="I599" s="108">
        <f>SUM(I592:I598)</f>
        <v>498598.06</v>
      </c>
      <c r="J599" s="108">
        <f>SUM(J592:J598)</f>
        <v>1266554.3400000001</v>
      </c>
      <c r="K599" s="108">
        <f>SUM(K592:K598)</f>
        <v>3381295.9499999997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27260</v>
      </c>
      <c r="I605" s="18">
        <v>185362.23</v>
      </c>
      <c r="J605" s="18">
        <f>687292.94-185362.23</f>
        <v>501930.70999999996</v>
      </c>
      <c r="K605" s="104">
        <f>SUM(H605:J605)</f>
        <v>714552.94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27260</v>
      </c>
      <c r="I606" s="108">
        <f>SUM(I603:I605)</f>
        <v>185362.23</v>
      </c>
      <c r="J606" s="108">
        <f>SUM(J603:J605)</f>
        <v>501930.70999999996</v>
      </c>
      <c r="K606" s="108">
        <f>SUM(K603:K605)</f>
        <v>714552.94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v>32563.33</v>
      </c>
      <c r="I612" s="18"/>
      <c r="J612" s="18"/>
      <c r="K612" s="18"/>
      <c r="L612" s="88">
        <f>SUM(F612:K612)</f>
        <v>32563.33</v>
      </c>
      <c r="M612" s="8"/>
      <c r="N612" s="264"/>
    </row>
    <row r="613" spans="1:14" s="3" customFormat="1" ht="12.2" customHeight="1" x14ac:dyDescent="0.15">
      <c r="A613" s="22" t="s">
        <v>634</v>
      </c>
      <c r="B613" s="75">
        <v>23</v>
      </c>
      <c r="C613" s="75">
        <v>14</v>
      </c>
      <c r="D613" s="2" t="s">
        <v>432</v>
      </c>
      <c r="E613" s="75"/>
      <c r="F613" s="18"/>
      <c r="G613" s="18"/>
      <c r="H613" s="18">
        <v>58369.22</v>
      </c>
      <c r="I613" s="18"/>
      <c r="J613" s="18"/>
      <c r="K613" s="18"/>
      <c r="L613" s="88">
        <f>SUM(F613:K613)</f>
        <v>58369.22</v>
      </c>
      <c r="M613" s="8"/>
      <c r="N613" s="264"/>
    </row>
    <row r="614" spans="1:14" s="3" customFormat="1" ht="12.2" customHeight="1" thickBot="1" x14ac:dyDescent="0.2">
      <c r="A614" s="22" t="s">
        <v>645</v>
      </c>
      <c r="B614" s="75">
        <v>23</v>
      </c>
      <c r="C614" s="75">
        <v>15</v>
      </c>
      <c r="D614" s="2" t="s">
        <v>432</v>
      </c>
      <c r="E614" s="75"/>
      <c r="F614" s="18"/>
      <c r="G614" s="18"/>
      <c r="H614" s="18">
        <v>112583.22</v>
      </c>
      <c r="I614" s="18"/>
      <c r="J614" s="18"/>
      <c r="K614" s="18"/>
      <c r="L614" s="88">
        <f>SUM(F614:K614)</f>
        <v>112583.22</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203515.77000000002</v>
      </c>
      <c r="I615" s="108">
        <f t="shared" si="49"/>
        <v>0</v>
      </c>
      <c r="J615" s="108">
        <f t="shared" si="49"/>
        <v>0</v>
      </c>
      <c r="K615" s="108">
        <f t="shared" si="49"/>
        <v>0</v>
      </c>
      <c r="L615" s="89">
        <f t="shared" si="49"/>
        <v>203515.77000000002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9056952.3499999996</v>
      </c>
      <c r="H618" s="109">
        <f>SUM(F52)</f>
        <v>9056952.3499999996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85363</v>
      </c>
      <c r="H619" s="109">
        <f>SUM(G52)</f>
        <v>85363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1628505.88</v>
      </c>
      <c r="H620" s="109">
        <f>SUM(H52)</f>
        <v>1628505.88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1132958</v>
      </c>
      <c r="H622" s="109">
        <f>SUM(J52)</f>
        <v>1132958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8960655.4800000004</v>
      </c>
      <c r="H623" s="109">
        <f>F477</f>
        <v>8960655.4800000042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7945.88</v>
      </c>
      <c r="H625" s="109">
        <f>H477</f>
        <v>7945.8799999998882</v>
      </c>
      <c r="I625" s="121" t="s">
        <v>103</v>
      </c>
      <c r="J625" s="109">
        <f t="shared" si="50"/>
        <v>1.1186784831807017E-10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1132958</v>
      </c>
      <c r="H627" s="109">
        <f>J477</f>
        <v>1132958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74416896</v>
      </c>
      <c r="H628" s="104">
        <f>SUM(F469)</f>
        <v>74416896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808603</v>
      </c>
      <c r="H629" s="104">
        <f>SUM(G469)</f>
        <v>808603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3207897.88</v>
      </c>
      <c r="H630" s="104">
        <f>SUM(H469)</f>
        <v>3207897.88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153043</v>
      </c>
      <c r="H632" s="104">
        <f>SUM(J469)</f>
        <v>153043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70567358.639999986</v>
      </c>
      <c r="H633" s="104">
        <f>SUM(F473)</f>
        <v>70567358.640000001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3297882.88</v>
      </c>
      <c r="H634" s="104">
        <f>SUM(H473)</f>
        <v>3297882.88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295850.56</v>
      </c>
      <c r="H635" s="104">
        <f>I370</f>
        <v>295850.56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859426</v>
      </c>
      <c r="H636" s="104">
        <f>SUM(G473)</f>
        <v>859426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153043</v>
      </c>
      <c r="H638" s="164">
        <f>SUM(J469)</f>
        <v>153043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3713</v>
      </c>
      <c r="H639" s="164">
        <f>SUM(J473)</f>
        <v>3713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1132958</v>
      </c>
      <c r="H640" s="104">
        <f>SUM(F462)</f>
        <v>1132958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1132958</v>
      </c>
      <c r="H643" s="104">
        <f>SUM(I462)</f>
        <v>1132958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3043</v>
      </c>
      <c r="H645" s="104">
        <f>H409</f>
        <v>3043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153043</v>
      </c>
      <c r="H647" s="104">
        <f>L409</f>
        <v>153043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3381295.9499999997</v>
      </c>
      <c r="H648" s="104">
        <f>L209+L227+L245</f>
        <v>3381295.9468395887</v>
      </c>
      <c r="I648" s="140" t="s">
        <v>396</v>
      </c>
      <c r="J648" s="109">
        <f t="shared" si="50"/>
        <v>3.1604110263288021E-3</v>
      </c>
      <c r="K648" s="85"/>
      <c r="L648" s="88"/>
      <c r="M648" s="8"/>
    </row>
    <row r="649" spans="1:13" s="3" customFormat="1" ht="12.2" customHeight="1" x14ac:dyDescent="0.15">
      <c r="A649" s="22"/>
      <c r="B649" s="105"/>
      <c r="C649" s="105"/>
      <c r="D649" s="105"/>
      <c r="E649" s="105"/>
      <c r="F649" s="120" t="s">
        <v>52</v>
      </c>
      <c r="G649" s="109">
        <f>K606</f>
        <v>714552.94</v>
      </c>
      <c r="H649" s="104">
        <f>(J258+J339)-(J256+J337)</f>
        <v>714552.94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1616143.5526583067</v>
      </c>
      <c r="H650" s="104">
        <f>H599</f>
        <v>1616143.55</v>
      </c>
      <c r="I650" s="140" t="s">
        <v>388</v>
      </c>
      <c r="J650" s="109">
        <f t="shared" si="50"/>
        <v>2.6583066210150719E-3</v>
      </c>
      <c r="K650" s="85"/>
      <c r="L650" s="88"/>
      <c r="M650" s="8"/>
    </row>
    <row r="651" spans="1:13" s="3" customFormat="1" ht="12.2" customHeight="1" x14ac:dyDescent="0.15">
      <c r="A651" s="22"/>
      <c r="B651" s="105"/>
      <c r="C651" s="105"/>
      <c r="D651" s="105"/>
      <c r="E651" s="105"/>
      <c r="F651" s="120" t="s">
        <v>392</v>
      </c>
      <c r="G651" s="109">
        <f>L227</f>
        <v>498598.0580431039</v>
      </c>
      <c r="H651" s="104">
        <f>I599</f>
        <v>498598.06</v>
      </c>
      <c r="I651" s="140" t="s">
        <v>389</v>
      </c>
      <c r="J651" s="109">
        <f t="shared" si="50"/>
        <v>-1.9568960997276008E-3</v>
      </c>
      <c r="K651" s="85"/>
      <c r="L651" s="88"/>
      <c r="M651" s="8"/>
    </row>
    <row r="652" spans="1:13" s="3" customFormat="1" ht="12.2" customHeight="1" x14ac:dyDescent="0.15">
      <c r="A652" s="22"/>
      <c r="B652" s="105"/>
      <c r="C652" s="105"/>
      <c r="D652" s="105"/>
      <c r="E652" s="105"/>
      <c r="F652" s="120" t="s">
        <v>393</v>
      </c>
      <c r="G652" s="109">
        <f>L245</f>
        <v>1266554.3361381779</v>
      </c>
      <c r="H652" s="104">
        <f>J599</f>
        <v>1266554.3400000001</v>
      </c>
      <c r="I652" s="140" t="s">
        <v>390</v>
      </c>
      <c r="J652" s="109">
        <f t="shared" si="50"/>
        <v>-3.8618221879005432E-3</v>
      </c>
      <c r="K652" s="85"/>
      <c r="L652" s="88"/>
      <c r="M652" s="8"/>
    </row>
    <row r="653" spans="1:13" s="3" customFormat="1" ht="12.2" customHeight="1" x14ac:dyDescent="0.15">
      <c r="A653" s="22"/>
      <c r="B653" s="105"/>
      <c r="C653" s="105"/>
      <c r="D653" s="105"/>
      <c r="E653" s="105"/>
      <c r="F653" s="120" t="s">
        <v>665</v>
      </c>
      <c r="G653" s="109">
        <f>G180+G182</f>
        <v>299321</v>
      </c>
      <c r="H653" s="104">
        <f>K264+K346</f>
        <v>299321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35140920.600000001</v>
      </c>
      <c r="G661" s="19">
        <f>(L230+L310+L360)</f>
        <v>11618464.309999999</v>
      </c>
      <c r="H661" s="19">
        <f>(L248+L329+L361)</f>
        <v>26002644.039999999</v>
      </c>
      <c r="I661" s="19">
        <f>SUM(F661:H661)</f>
        <v>72762028.949999988</v>
      </c>
      <c r="J661" s="13"/>
      <c r="K661" s="13"/>
      <c r="L661" s="13"/>
      <c r="M661" s="9"/>
    </row>
    <row r="662" spans="1:13" s="3" customFormat="1" ht="12.2" customHeight="1" x14ac:dyDescent="0.2">
      <c r="A662" s="1" t="s">
        <v>127</v>
      </c>
      <c r="F662" s="19">
        <f>(L359/IF(SUM(L359:L361)=0,1,SUM(L359:L361))*(SUM(G97:G110)))</f>
        <v>20709.630537928802</v>
      </c>
      <c r="G662" s="19">
        <f>(L360/IF(SUM(L359:L361)=0,1,SUM(L359:L361))*(SUM(G97:G110)))</f>
        <v>8349.3884002462109</v>
      </c>
      <c r="H662" s="19">
        <f>(L361/IF(SUM(L359:L361)=0,1,SUM(L359:L361))*(SUM(G97:G110)))</f>
        <v>20879.981061824987</v>
      </c>
      <c r="I662" s="19">
        <f>SUM(F662:H662)</f>
        <v>49939</v>
      </c>
      <c r="J662"/>
      <c r="K662" s="13"/>
      <c r="L662" s="13"/>
      <c r="M662" s="8"/>
    </row>
    <row r="663" spans="1:13" s="3" customFormat="1" ht="12.2" customHeight="1" x14ac:dyDescent="0.2">
      <c r="A663" s="1" t="s">
        <v>128</v>
      </c>
      <c r="F663" s="19">
        <f>(L209+L288)-(J209+J288)</f>
        <v>1616143.5526583067</v>
      </c>
      <c r="G663" s="19">
        <f>(L227+L307)-(J227+J307)</f>
        <v>498598.0580431039</v>
      </c>
      <c r="H663" s="19">
        <f>(L245+L326)-(J245+J326)</f>
        <v>1266554.3361381779</v>
      </c>
      <c r="I663" s="19">
        <f>SUM(F663:H663)</f>
        <v>3381295.9468395887</v>
      </c>
      <c r="J663"/>
      <c r="K663" s="13"/>
      <c r="L663" s="13"/>
      <c r="M663" s="9"/>
    </row>
    <row r="664" spans="1:13" s="3" customFormat="1" ht="12.2" customHeight="1" x14ac:dyDescent="0.15">
      <c r="A664" s="198" t="s">
        <v>129</v>
      </c>
      <c r="B664" s="169"/>
      <c r="C664" s="169"/>
      <c r="D664" s="169"/>
      <c r="E664" s="169"/>
      <c r="F664" s="199">
        <f>SUM(F576:F588)+SUM(H603:H605)+SUM(L612)</f>
        <v>366156.86000000004</v>
      </c>
      <c r="G664" s="199">
        <f>SUM(G576:G588)+SUM(I603:I605)+L613</f>
        <v>548454.89</v>
      </c>
      <c r="H664" s="199">
        <f>SUM(H576:H588)+SUM(J603:J605)+L614</f>
        <v>3011299.0100000002</v>
      </c>
      <c r="I664" s="19">
        <f>SUM(F664:H664)</f>
        <v>3925910.7600000002</v>
      </c>
      <c r="J664" s="13"/>
      <c r="K664" s="13"/>
      <c r="L664" s="13"/>
      <c r="M664" s="9"/>
    </row>
    <row r="665" spans="1:13" s="3" customFormat="1" ht="12.2" customHeight="1" x14ac:dyDescent="0.15">
      <c r="A665" s="1" t="s">
        <v>130</v>
      </c>
      <c r="F665" s="19">
        <f>F661-SUM(F662:F664)</f>
        <v>33137910.556803767</v>
      </c>
      <c r="G665" s="19">
        <f>G661-SUM(G662:G664)</f>
        <v>10563061.973556649</v>
      </c>
      <c r="H665" s="19">
        <f>H661-SUM(H662:H664)</f>
        <v>21703910.712799996</v>
      </c>
      <c r="I665" s="19">
        <f>I661-SUM(I662:I664)</f>
        <v>65404883.243160397</v>
      </c>
      <c r="J665" s="13"/>
      <c r="K665" s="13"/>
      <c r="L665" s="13"/>
      <c r="M665" s="8"/>
    </row>
    <row r="666" spans="1:13" s="3" customFormat="1" ht="12.2" customHeight="1" x14ac:dyDescent="0.25">
      <c r="A666" s="1" t="s">
        <v>131</v>
      </c>
      <c r="F666" s="360">
        <v>1763.14</v>
      </c>
      <c r="G666" s="360">
        <v>547.64</v>
      </c>
      <c r="H666" s="360">
        <v>1166.44</v>
      </c>
      <c r="I666" s="19">
        <f>SUM(F666:H666)</f>
        <v>3477.2200000000003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18794.830000000002</v>
      </c>
      <c r="G668" s="19">
        <f>ROUND(G665/G666,2)</f>
        <v>19288.330000000002</v>
      </c>
      <c r="H668" s="19">
        <f>ROUND(H665/H666,2)</f>
        <v>18606.97</v>
      </c>
      <c r="I668" s="19">
        <f>ROUND(I665/I666,2)</f>
        <v>18809.53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-7.28</v>
      </c>
      <c r="I671" s="19">
        <f>SUM(F671:H671)</f>
        <v>-7.28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18794.830000000002</v>
      </c>
      <c r="G673" s="19">
        <f>ROUND((G665+G670)/(G666+G671),2)</f>
        <v>19288.330000000002</v>
      </c>
      <c r="H673" s="19">
        <f>ROUND((H665+H670)/(H666+H671),2)</f>
        <v>18723.830000000002</v>
      </c>
      <c r="I673" s="19">
        <f>ROUND((I665+I670)/(I666+I671),2)</f>
        <v>18849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0" sqref="E3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1024042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735600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1046976</v>
      </c>
      <c r="F22" s="346"/>
    </row>
    <row r="23" spans="2:8" x14ac:dyDescent="0.25">
      <c r="B23" s="346"/>
      <c r="C23" s="346"/>
      <c r="D23" s="346"/>
      <c r="E23" s="346"/>
      <c r="F23" s="346"/>
    </row>
    <row r="24" spans="2:8" ht="26.25" customHeight="1" x14ac:dyDescent="0.25">
      <c r="B24" s="346"/>
      <c r="C24" s="348" t="s">
        <v>1661</v>
      </c>
      <c r="D24" s="346"/>
      <c r="E24" s="341">
        <v>523454</v>
      </c>
      <c r="F24" s="346"/>
    </row>
    <row r="25" spans="2:8" ht="18" x14ac:dyDescent="0.25">
      <c r="B25" s="346"/>
      <c r="C25" s="349"/>
      <c r="D25" s="346"/>
      <c r="E25" s="346"/>
      <c r="F25" s="346"/>
    </row>
    <row r="26" spans="2:8" ht="27.75" customHeight="1" x14ac:dyDescent="0.25">
      <c r="B26" s="346"/>
      <c r="C26" s="348" t="s">
        <v>1662</v>
      </c>
      <c r="D26" s="346"/>
      <c r="E26" s="341">
        <v>523522</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712666</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Merrimack SAU26</v>
      </c>
      <c r="C5" s="364"/>
      <c r="D5" s="364"/>
      <c r="E5" s="364"/>
      <c r="F5" s="364"/>
    </row>
    <row r="8" spans="1:9" ht="18" x14ac:dyDescent="0.25">
      <c r="A8" s="317" t="s">
        <v>1576</v>
      </c>
      <c r="F8" s="324" t="s">
        <v>1594</v>
      </c>
    </row>
    <row r="9" spans="1:9" ht="15" x14ac:dyDescent="0.2">
      <c r="A9" s="315" t="s">
        <v>1577</v>
      </c>
      <c r="B9" s="318">
        <f>'DOE25'!G97</f>
        <v>49939</v>
      </c>
      <c r="F9" s="315" t="s">
        <v>1590</v>
      </c>
    </row>
    <row r="10" spans="1:9" ht="15" x14ac:dyDescent="0.2">
      <c r="A10" s="315" t="s">
        <v>1578</v>
      </c>
      <c r="B10" s="318">
        <f>'DOE25'!G112-'DOE25'!G97</f>
        <v>0</v>
      </c>
      <c r="F10" s="315" t="s">
        <v>1591</v>
      </c>
    </row>
    <row r="11" spans="1:9" ht="15" x14ac:dyDescent="0.2">
      <c r="A11" s="315" t="s">
        <v>1579</v>
      </c>
      <c r="B11" s="318">
        <f>'DOE25'!G140</f>
        <v>15659</v>
      </c>
      <c r="F11" s="315" t="s">
        <v>1592</v>
      </c>
    </row>
    <row r="12" spans="1:9" ht="15" x14ac:dyDescent="0.2">
      <c r="A12" s="315" t="s">
        <v>1580</v>
      </c>
      <c r="B12" s="318">
        <f>'DOE25'!G170</f>
        <v>443684</v>
      </c>
      <c r="F12" s="315" t="s">
        <v>1593</v>
      </c>
    </row>
    <row r="13" spans="1:9" ht="15" x14ac:dyDescent="0.2">
      <c r="A13" s="315" t="s">
        <v>1581</v>
      </c>
      <c r="B13" s="318">
        <f>'DOE25'!G193-'DOE25'!G180</f>
        <v>0</v>
      </c>
      <c r="F13" s="315" t="s">
        <v>1603</v>
      </c>
    </row>
    <row r="14" spans="1:9" ht="18" x14ac:dyDescent="0.25">
      <c r="A14" s="317" t="s">
        <v>732</v>
      </c>
      <c r="B14" s="319">
        <f>SUM(B9:B13)</f>
        <v>509282</v>
      </c>
    </row>
    <row r="16" spans="1:9" ht="18" x14ac:dyDescent="0.25">
      <c r="A16" s="317" t="s">
        <v>786</v>
      </c>
      <c r="F16" s="324" t="s">
        <v>1595</v>
      </c>
    </row>
    <row r="17" spans="1:6" ht="15" x14ac:dyDescent="0.2">
      <c r="A17" s="315" t="s">
        <v>1582</v>
      </c>
      <c r="B17" s="318">
        <f>'DOE25'!L363-'DOE25'!L362</f>
        <v>859426</v>
      </c>
      <c r="F17" s="315" t="s">
        <v>1596</v>
      </c>
    </row>
    <row r="18" spans="1:6" ht="15" x14ac:dyDescent="0.2">
      <c r="A18" s="315" t="s">
        <v>1583</v>
      </c>
      <c r="B18" s="328"/>
      <c r="F18" s="324" t="s">
        <v>1620</v>
      </c>
    </row>
    <row r="19" spans="1:6" ht="18" x14ac:dyDescent="0.25">
      <c r="A19" s="317" t="s">
        <v>725</v>
      </c>
      <c r="B19" s="319">
        <f>SUM(B17:B18)</f>
        <v>859426</v>
      </c>
    </row>
    <row r="21" spans="1:6" ht="18.75" thickBot="1" x14ac:dyDescent="0.3">
      <c r="A21" s="317" t="s">
        <v>1584</v>
      </c>
    </row>
    <row r="22" spans="1:6" ht="18.75" thickTop="1" x14ac:dyDescent="0.25">
      <c r="A22" s="317" t="s">
        <v>1585</v>
      </c>
      <c r="B22" s="323">
        <f>B14-B19</f>
        <v>-350144</v>
      </c>
      <c r="F22" s="315" t="s">
        <v>1597</v>
      </c>
    </row>
    <row r="26" spans="1:6" ht="18" x14ac:dyDescent="0.25">
      <c r="A26" s="317" t="s">
        <v>186</v>
      </c>
    </row>
    <row r="27" spans="1:6" ht="15" x14ac:dyDescent="0.2">
      <c r="A27" s="315" t="s">
        <v>1586</v>
      </c>
      <c r="B27" s="318">
        <f>'DOE25'!G180</f>
        <v>299321</v>
      </c>
      <c r="F27" s="315" t="s">
        <v>1598</v>
      </c>
    </row>
    <row r="28" spans="1:6" ht="15" x14ac:dyDescent="0.2">
      <c r="A28" s="315" t="s">
        <v>1588</v>
      </c>
      <c r="B28" s="318">
        <f>'DOE25'!L362</f>
        <v>0</v>
      </c>
      <c r="F28" s="315" t="s">
        <v>1599</v>
      </c>
    </row>
    <row r="31" spans="1:6" ht="15" x14ac:dyDescent="0.2">
      <c r="A31" s="315" t="s">
        <v>1628</v>
      </c>
      <c r="B31" s="318">
        <f>'DOE25'!G466</f>
        <v>50823</v>
      </c>
      <c r="F31" s="315" t="s">
        <v>1600</v>
      </c>
    </row>
    <row r="33" spans="1:6" ht="15" x14ac:dyDescent="0.2">
      <c r="A33" s="315" t="s">
        <v>1629</v>
      </c>
      <c r="B33" s="318">
        <f>'DOE25'!G477</f>
        <v>0</v>
      </c>
      <c r="F33" s="315" t="s">
        <v>1601</v>
      </c>
    </row>
    <row r="36" spans="1:6" ht="15" x14ac:dyDescent="0.2">
      <c r="A36" s="315" t="s">
        <v>1587</v>
      </c>
      <c r="B36" s="329">
        <v>50823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B37" sqref="B37:C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 SAU26</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17072978.07</v>
      </c>
      <c r="C9" s="229">
        <f>'DOE25'!G198+'DOE25'!G216+'DOE25'!G234+'DOE25'!G277+'DOE25'!G296+'DOE25'!G315</f>
        <v>10827870.033676235</v>
      </c>
    </row>
    <row r="10" spans="1:3" x14ac:dyDescent="0.2">
      <c r="A10" t="s">
        <v>775</v>
      </c>
      <c r="B10" s="240">
        <f>17072978.07-237495-946738</f>
        <v>15888745.07</v>
      </c>
      <c r="C10" s="240">
        <f>10827870.0336762-56923-1870834</f>
        <v>8900113.0336761996</v>
      </c>
    </row>
    <row r="11" spans="1:3" x14ac:dyDescent="0.2">
      <c r="A11" t="s">
        <v>776</v>
      </c>
      <c r="B11" s="240">
        <v>237495</v>
      </c>
      <c r="C11" s="240">
        <v>56923</v>
      </c>
    </row>
    <row r="12" spans="1:3" x14ac:dyDescent="0.2">
      <c r="A12" t="s">
        <v>777</v>
      </c>
      <c r="B12" s="240">
        <v>946738</v>
      </c>
      <c r="C12" s="240">
        <v>1870834</v>
      </c>
    </row>
    <row r="13" spans="1:3" x14ac:dyDescent="0.2">
      <c r="A13" t="str">
        <f>IF(B9=B13,IF(C9=C13,"Check Total OK","Check Total Error"),"Check Total Error")</f>
        <v>Check Total OK</v>
      </c>
      <c r="B13" s="231">
        <f>SUM(B10:B12)</f>
        <v>17072978.07</v>
      </c>
      <c r="C13" s="231">
        <f>SUM(C10:C12)</f>
        <v>10827870.0336762</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7348870.8499999996</v>
      </c>
      <c r="C18" s="229">
        <f>'DOE25'!G199+'DOE25'!G217+'DOE25'!G235+'DOE25'!G278+'DOE25'!G297+'DOE25'!G316</f>
        <v>4555516.9025859367</v>
      </c>
    </row>
    <row r="19" spans="1:3" x14ac:dyDescent="0.2">
      <c r="A19" t="s">
        <v>775</v>
      </c>
      <c r="B19" s="240">
        <f>7348870.85-2895663-96985</f>
        <v>4356222.8499999996</v>
      </c>
      <c r="C19" s="240">
        <f>4555516.90258594-1986663-211863</f>
        <v>2356990.9025859404</v>
      </c>
    </row>
    <row r="20" spans="1:3" x14ac:dyDescent="0.2">
      <c r="A20" t="s">
        <v>776</v>
      </c>
      <c r="B20" s="240">
        <v>2895663</v>
      </c>
      <c r="C20" s="240">
        <v>1986663</v>
      </c>
    </row>
    <row r="21" spans="1:3" x14ac:dyDescent="0.2">
      <c r="A21" t="s">
        <v>777</v>
      </c>
      <c r="B21" s="240">
        <v>96985</v>
      </c>
      <c r="C21" s="240">
        <v>211863</v>
      </c>
    </row>
    <row r="22" spans="1:3" x14ac:dyDescent="0.2">
      <c r="A22" t="str">
        <f>IF(B18=B22,IF(C18=C22,"Check Total OK","Check Total Error"),"Check Total Error")</f>
        <v>Check Total OK</v>
      </c>
      <c r="B22" s="231">
        <f>SUM(B19:B21)</f>
        <v>7348870.8499999996</v>
      </c>
      <c r="C22" s="231">
        <f>SUM(C19:C21)</f>
        <v>4555516.9025859404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446439.1</v>
      </c>
      <c r="C36" s="235">
        <f>'DOE25'!G201+'DOE25'!G219+'DOE25'!G237+'DOE25'!G280+'DOE25'!G299+'DOE25'!G318</f>
        <v>300329.80104200967</v>
      </c>
    </row>
    <row r="37" spans="1:3" x14ac:dyDescent="0.2">
      <c r="A37" t="s">
        <v>775</v>
      </c>
      <c r="B37" s="240">
        <v>446439.1</v>
      </c>
      <c r="C37" s="240">
        <v>300329.80104200967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446439.1</v>
      </c>
      <c r="C40" s="231">
        <f>SUM(C37:C39)</f>
        <v>300329.80104200967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4" sqref="F14: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Merrimack SAU26</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45901198.687304184</v>
      </c>
      <c r="D5" s="20">
        <f>SUM('DOE25'!L198:L201)+SUM('DOE25'!L216:L219)+SUM('DOE25'!L234:L237)-F5-G5-H5</f>
        <v>45275530.997304186</v>
      </c>
      <c r="E5" s="243"/>
      <c r="F5" s="244"/>
      <c r="G5" s="53">
        <f>SUM('DOE25'!J198:J201)+SUM('DOE25'!J216:J219)+SUM('DOE25'!J234:J237)</f>
        <v>611802.68999999994</v>
      </c>
      <c r="H5" s="53">
        <f>SUM('DOE25'!K198:K201)+SUM('DOE25'!K216:K219)+SUM('DOE25'!K234:K237)</f>
        <v>13865</v>
      </c>
      <c r="I5" s="254"/>
    </row>
    <row r="6" spans="1:9" x14ac:dyDescent="0.2">
      <c r="A6" s="32">
        <v>2100</v>
      </c>
      <c r="B6" t="s">
        <v>796</v>
      </c>
      <c r="C6" s="273">
        <f t="shared" si="0"/>
        <v>5785585.3750599194</v>
      </c>
      <c r="D6" s="20">
        <f>'DOE25'!L203+'DOE25'!L221+'DOE25'!L239-F6-G6-H6</f>
        <v>5785585.3750599194</v>
      </c>
      <c r="E6" s="243"/>
      <c r="F6" s="244"/>
      <c r="G6" s="53">
        <f>'DOE25'!J203+'DOE25'!J221+'DOE25'!J239</f>
        <v>0</v>
      </c>
      <c r="H6" s="53">
        <f>'DOE25'!K203+'DOE25'!K221+'DOE25'!K239</f>
        <v>0</v>
      </c>
      <c r="I6" s="254"/>
    </row>
    <row r="7" spans="1:9" x14ac:dyDescent="0.2">
      <c r="A7" s="32">
        <v>2200</v>
      </c>
      <c r="B7" t="s">
        <v>821</v>
      </c>
      <c r="C7" s="273">
        <f t="shared" si="0"/>
        <v>1730936.9446625724</v>
      </c>
      <c r="D7" s="20">
        <f>'DOE25'!L204+'DOE25'!L222+'DOE25'!L240-F7-G7-H7</f>
        <v>1730459.9446625724</v>
      </c>
      <c r="E7" s="243"/>
      <c r="F7" s="244"/>
      <c r="G7" s="53">
        <f>'DOE25'!J204+'DOE25'!J222+'DOE25'!J240</f>
        <v>0</v>
      </c>
      <c r="H7" s="53">
        <f>'DOE25'!K204+'DOE25'!K222+'DOE25'!K240</f>
        <v>477</v>
      </c>
      <c r="I7" s="254"/>
    </row>
    <row r="8" spans="1:9" x14ac:dyDescent="0.2">
      <c r="A8" s="32">
        <v>2300</v>
      </c>
      <c r="B8" t="s">
        <v>797</v>
      </c>
      <c r="C8" s="273">
        <f t="shared" si="0"/>
        <v>1703547.5523290846</v>
      </c>
      <c r="D8" s="243"/>
      <c r="E8" s="20">
        <f>'DOE25'!L205+'DOE25'!L223+'DOE25'!L241-F8-G8-H8-D9-D11</f>
        <v>1616929.1123290844</v>
      </c>
      <c r="F8" s="244"/>
      <c r="G8" s="53">
        <f>'DOE25'!J205+'DOE25'!J223+'DOE25'!J241</f>
        <v>58819.12</v>
      </c>
      <c r="H8" s="53">
        <f>'DOE25'!K205+'DOE25'!K223+'DOE25'!K241</f>
        <v>27799.32</v>
      </c>
      <c r="I8" s="254"/>
    </row>
    <row r="9" spans="1:9" ht="14.25" x14ac:dyDescent="0.2">
      <c r="A9" s="32">
        <v>2310</v>
      </c>
      <c r="B9" s="185" t="s">
        <v>888</v>
      </c>
      <c r="C9" s="273">
        <f t="shared" si="0"/>
        <v>48935.18</v>
      </c>
      <c r="D9" s="244">
        <v>48935.18</v>
      </c>
      <c r="E9" s="243"/>
      <c r="F9" s="251"/>
      <c r="G9" s="251"/>
      <c r="H9" s="251"/>
      <c r="I9" s="254"/>
    </row>
    <row r="10" spans="1:9" ht="14.25" x14ac:dyDescent="0.2">
      <c r="A10" s="32">
        <v>2317</v>
      </c>
      <c r="B10" s="185" t="s">
        <v>889</v>
      </c>
      <c r="C10" s="273">
        <f t="shared" si="0"/>
        <v>19960</v>
      </c>
      <c r="D10" s="243"/>
      <c r="E10" s="244">
        <v>19960</v>
      </c>
      <c r="F10" s="251"/>
      <c r="G10" s="251"/>
      <c r="H10" s="251"/>
      <c r="I10" s="254"/>
    </row>
    <row r="11" spans="1:9" ht="14.25" x14ac:dyDescent="0.2">
      <c r="A11" s="32">
        <v>2321</v>
      </c>
      <c r="B11" s="185" t="s">
        <v>890</v>
      </c>
      <c r="C11" s="273">
        <f t="shared" si="0"/>
        <v>584116.37</v>
      </c>
      <c r="D11" s="244">
        <v>584116.37</v>
      </c>
      <c r="E11" s="243"/>
      <c r="F11" s="251"/>
      <c r="G11" s="251"/>
      <c r="H11" s="251"/>
      <c r="I11" s="254"/>
    </row>
    <row r="12" spans="1:9" x14ac:dyDescent="0.2">
      <c r="A12" s="32">
        <v>2400</v>
      </c>
      <c r="B12" t="s">
        <v>711</v>
      </c>
      <c r="C12" s="273">
        <f t="shared" si="0"/>
        <v>3585254.2752099009</v>
      </c>
      <c r="D12" s="20">
        <f>'DOE25'!L206+'DOE25'!L224+'DOE25'!L242-F12-G12-H12</f>
        <v>3531019.1852099011</v>
      </c>
      <c r="E12" s="243"/>
      <c r="F12" s="244"/>
      <c r="G12" s="53">
        <f>'DOE25'!J206+'DOE25'!J224+'DOE25'!J242</f>
        <v>0</v>
      </c>
      <c r="H12" s="53">
        <f>'DOE25'!K206+'DOE25'!K224+'DOE25'!K242</f>
        <v>54235.090000000004</v>
      </c>
      <c r="I12" s="254"/>
    </row>
    <row r="13" spans="1:9" x14ac:dyDescent="0.2">
      <c r="A13" s="32">
        <v>2500</v>
      </c>
      <c r="B13" t="s">
        <v>798</v>
      </c>
      <c r="C13" s="273">
        <f t="shared" si="0"/>
        <v>697985.51300337631</v>
      </c>
      <c r="D13" s="243"/>
      <c r="E13" s="20">
        <f>'DOE25'!L207+'DOE25'!L225+'DOE25'!L243-F13-G13-H13</f>
        <v>693088.83300337626</v>
      </c>
      <c r="F13" s="244"/>
      <c r="G13" s="53">
        <f>'DOE25'!J207+'DOE25'!J225+'DOE25'!J243</f>
        <v>0</v>
      </c>
      <c r="H13" s="53">
        <f>'DOE25'!K207+'DOE25'!K225+'DOE25'!K243</f>
        <v>4896.68</v>
      </c>
      <c r="I13" s="254"/>
    </row>
    <row r="14" spans="1:9" x14ac:dyDescent="0.2">
      <c r="A14" s="32">
        <v>2600</v>
      </c>
      <c r="B14" t="s">
        <v>819</v>
      </c>
      <c r="C14" s="273">
        <f t="shared" si="0"/>
        <v>4944936.3504756708</v>
      </c>
      <c r="D14" s="20">
        <f>'DOE25'!L208+'DOE25'!L226+'DOE25'!L244-F14-G14-H14</f>
        <v>4602904.2204756709</v>
      </c>
      <c r="E14" s="243"/>
      <c r="F14" s="244">
        <v>325361</v>
      </c>
      <c r="G14" s="53">
        <f>'DOE25'!J208+'DOE25'!J226+'DOE25'!J244</f>
        <v>16671.13</v>
      </c>
      <c r="H14" s="53">
        <f>'DOE25'!K208+'DOE25'!K226+'DOE25'!K244</f>
        <v>0</v>
      </c>
      <c r="I14" s="254"/>
    </row>
    <row r="15" spans="1:9" x14ac:dyDescent="0.2">
      <c r="A15" s="32">
        <v>2700</v>
      </c>
      <c r="B15" t="s">
        <v>799</v>
      </c>
      <c r="C15" s="273">
        <f t="shared" si="0"/>
        <v>3381295.9468395887</v>
      </c>
      <c r="D15" s="20">
        <f>'DOE25'!L209+'DOE25'!L227+'DOE25'!L245-F15-G15-H15</f>
        <v>72037.816839588806</v>
      </c>
      <c r="E15" s="243"/>
      <c r="F15" s="244">
        <v>3309258.13</v>
      </c>
      <c r="G15" s="53">
        <f>'DOE25'!J209+'DOE25'!J227+'DOE25'!J245</f>
        <v>0</v>
      </c>
      <c r="H15" s="53">
        <f>'DOE25'!K209+'DOE25'!K227+'DOE25'!K245</f>
        <v>0</v>
      </c>
      <c r="I15" s="254"/>
    </row>
    <row r="16" spans="1:9" x14ac:dyDescent="0.2">
      <c r="A16" s="32">
        <v>2800</v>
      </c>
      <c r="B16" t="s">
        <v>800</v>
      </c>
      <c r="C16" s="273">
        <f t="shared" si="0"/>
        <v>240927.87511570571</v>
      </c>
      <c r="D16" s="243"/>
      <c r="E16" s="20">
        <f>'DOE25'!L210+'DOE25'!L228+'DOE25'!L246-F16-G16-H16</f>
        <v>240927.87511570571</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344571.32</v>
      </c>
      <c r="D22" s="243"/>
      <c r="E22" s="243"/>
      <c r="F22" s="243"/>
      <c r="G22" s="53">
        <f>'DOE25'!L256+'DOE25'!L337</f>
        <v>344571.32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1168746.25</v>
      </c>
      <c r="D25" s="243"/>
      <c r="E25" s="243"/>
      <c r="F25" s="253"/>
      <c r="G25" s="251"/>
      <c r="H25" s="251"/>
      <c r="I25" s="252">
        <f>'DOE25'!L261+'DOE25'!L262+'DOE25'!L342+'DOE25'!L343</f>
        <v>1168746.25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607640.82000000007</v>
      </c>
      <c r="D29" s="281">
        <f>'DOE25'!L359+'DOE25'!L360+'DOE25'!L361-'DOE25'!I368-F29-G29-H29</f>
        <v>601700.94000000006</v>
      </c>
      <c r="E29" s="243"/>
      <c r="F29" s="244"/>
      <c r="G29" s="53">
        <f>'DOE25'!J359+'DOE25'!J360+'DOE25'!J361</f>
        <v>5939.88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3297882.88</v>
      </c>
      <c r="D31" s="20">
        <f>'DOE25'!L291+'DOE25'!L310+'DOE25'!L329+'DOE25'!L334+'DOE25'!L335+'DOE25'!L336-F31-G31-H31</f>
        <v>3270622.88</v>
      </c>
      <c r="E31" s="243"/>
      <c r="F31" s="244"/>
      <c r="G31" s="53">
        <f>'DOE25'!J291+'DOE25'!J310+'DOE25'!J329+'DOE25'!J334+'DOE25'!J335+'DOE25'!J336</f>
        <v>27260</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65502912.909551837</v>
      </c>
      <c r="E33" s="245">
        <f t="shared" si="1"/>
        <v>2570905.8204481662</v>
      </c>
      <c r="F33" s="245">
        <f t="shared" si="1"/>
        <v>3634619.13</v>
      </c>
      <c r="G33" s="245">
        <f t="shared" si="1"/>
        <v>1065064.1400000001</v>
      </c>
      <c r="H33" s="245">
        <f t="shared" si="1"/>
        <v>101273.09</v>
      </c>
      <c r="I33" s="245">
        <f t="shared" si="1"/>
        <v>1168746.25</v>
      </c>
    </row>
    <row r="35" spans="1:9" ht="12" thickBot="1" x14ac:dyDescent="0.25">
      <c r="B35" s="249" t="s">
        <v>831</v>
      </c>
      <c r="D35" s="250">
        <f>E33</f>
        <v>2570905.8204481662</v>
      </c>
      <c r="E35" s="246"/>
      <c r="F35" s="333" t="s">
        <v>1632</v>
      </c>
      <c r="G35" s="334"/>
      <c r="H35" s="334"/>
      <c r="I35" s="334"/>
    </row>
    <row r="36" spans="1:9" ht="12" thickTop="1" x14ac:dyDescent="0.2">
      <c r="B36" t="s">
        <v>810</v>
      </c>
      <c r="D36" s="20">
        <f>D33</f>
        <v>65502912.909551837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27" sqref="A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Merrimack SAU26</v>
      </c>
      <c r="B2" s="126">
        <f>'DOE25'!B2</f>
        <v>351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34784517.890000001</v>
      </c>
      <c r="G4" s="300">
        <f>'DOE25'!L212+'DOE25'!L291</f>
        <v>34784517.890000001</v>
      </c>
      <c r="H4" s="353">
        <f>F4-G4</f>
        <v>0</v>
      </c>
      <c r="I4" s="372" t="str">
        <f>IF(H4=0,"","ISSUES!! Please review page 7 and 11 totals in comparison with total on this page")</f>
        <v/>
      </c>
      <c r="N4"/>
    </row>
    <row r="5" spans="1:18" ht="12" thickTop="1" x14ac:dyDescent="0.2">
      <c r="A5" s="21" t="s">
        <v>1249</v>
      </c>
      <c r="B5" s="301">
        <f>IFERROR(VLOOKUP(A5,'School Tables'!$C$3:$D$365,2,FALSE),"")</f>
        <v>21020</v>
      </c>
      <c r="C5" s="294" t="str">
        <f>IFERROR(INDEX('School Tables'!$B$3:$B$365,MATCH('School Level Expenditures'!B5,'School Tables'!$D$3:$D$365,0)),"")</f>
        <v>Merrimack</v>
      </c>
      <c r="D5" s="291">
        <v>7278591.224203133</v>
      </c>
      <c r="E5" s="359">
        <v>238322.42031334413</v>
      </c>
      <c r="F5" s="304">
        <f>D5+E5</f>
        <v>7516913.6445164774</v>
      </c>
      <c r="G5" s="294"/>
      <c r="H5" s="294"/>
      <c r="I5" s="373"/>
      <c r="N5"/>
    </row>
    <row r="6" spans="1:18" x14ac:dyDescent="0.2">
      <c r="A6" s="21" t="s">
        <v>1248</v>
      </c>
      <c r="B6" s="301">
        <f>IFERROR(VLOOKUP(A6,'School Tables'!$C$3:$D$365,2,FALSE),"")</f>
        <v>21015</v>
      </c>
      <c r="C6" s="294" t="str">
        <f>IFERROR(INDEX('School Tables'!$B$3:$B$365,MATCH('School Level Expenditures'!B6,'School Tables'!$D$3:$D$365,0)),"")</f>
        <v>Merrimack</v>
      </c>
      <c r="D6" s="291">
        <v>8188415.1272285255</v>
      </c>
      <c r="E6" s="291">
        <v>268112.72285251215</v>
      </c>
      <c r="F6" s="304">
        <f t="shared" ref="F6:F20" si="0">D6+E6</f>
        <v>8456527.8500810377</v>
      </c>
      <c r="G6" s="294"/>
      <c r="H6" s="294"/>
      <c r="I6" s="373"/>
      <c r="N6"/>
    </row>
    <row r="7" spans="1:18" x14ac:dyDescent="0.2">
      <c r="A7" s="21" t="s">
        <v>1251</v>
      </c>
      <c r="B7" s="301">
        <f>IFERROR(VLOOKUP(A7,'School Tables'!$C$3:$D$365,2,FALSE),"")</f>
        <v>21035</v>
      </c>
      <c r="C7" s="294" t="str">
        <f>IFERROR(INDEX('School Tables'!$B$3:$B$365,MATCH('School Level Expenditures'!B7,'School Tables'!$D$3:$D$365,0)),"")</f>
        <v>Merrimack</v>
      </c>
      <c r="D7" s="291">
        <v>7915467.9563209079</v>
      </c>
      <c r="E7" s="291">
        <v>259175.63209076173</v>
      </c>
      <c r="F7" s="304">
        <f t="shared" si="0"/>
        <v>8174643.5884116692</v>
      </c>
      <c r="G7" s="294"/>
      <c r="H7" s="294"/>
      <c r="I7" s="354"/>
      <c r="N7"/>
    </row>
    <row r="8" spans="1:18" x14ac:dyDescent="0.2">
      <c r="A8" s="21" t="s">
        <v>1250</v>
      </c>
      <c r="B8" s="301">
        <f>IFERROR(VLOOKUP(A8,'School Tables'!$C$3:$D$365,2,FALSE),"")</f>
        <v>21025</v>
      </c>
      <c r="C8" s="294" t="str">
        <f>IFERROR(INDEX('School Tables'!$B$3:$B$365,MATCH('School Level Expenditures'!B8,'School Tables'!$D$3:$D$365,0)),"")</f>
        <v>Merrimack</v>
      </c>
      <c r="D8" s="291">
        <v>10299206.582247434</v>
      </c>
      <c r="E8" s="291">
        <v>337226.22474338196</v>
      </c>
      <c r="F8" s="304">
        <f t="shared" si="0"/>
        <v>10636432.806990815</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33681680.890000001</v>
      </c>
      <c r="E21" s="351">
        <f>SUM(E5:E20)</f>
        <v>1102837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11474775.380000001</v>
      </c>
      <c r="G24" s="300">
        <f>'DOE25'!L230+'DOE25'!L310</f>
        <v>11474775.379999999</v>
      </c>
      <c r="H24" s="353">
        <f>F24-G24</f>
        <v>0</v>
      </c>
      <c r="I24" s="372" t="str">
        <f>IF(H24=0,"","ISSUES!! Please review page 8 and 12 totals in comparison with total on this page")</f>
        <v/>
      </c>
      <c r="N24"/>
    </row>
    <row r="25" spans="1:14" x14ac:dyDescent="0.2">
      <c r="A25" s="21" t="s">
        <v>1247</v>
      </c>
      <c r="B25" s="301">
        <f>IFERROR(VLOOKUP(A25,'School Tables'!$I$3:$J$80,2,FALSE),"")</f>
        <v>28375</v>
      </c>
      <c r="C25" s="294" t="str">
        <f t="array" ref="C25">IFERROR(INDEX('School Tables'!$H$3:$H$80,MATCH('School Level Expenditures'!B25,'School Tables'!$J$3:$J$80,0)),"")</f>
        <v>Merrimack</v>
      </c>
      <c r="D25" s="291">
        <v>10702528.380000001</v>
      </c>
      <c r="E25" s="291">
        <v>772247</v>
      </c>
      <c r="F25" s="304">
        <f>D25+E25</f>
        <v>11474775.380000001</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10702528.380000001</v>
      </c>
      <c r="E33" s="351">
        <f>SUM(E25:E32)</f>
        <v>772247</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25643309.68</v>
      </c>
      <c r="G36" s="300">
        <f>'DOE25'!L248+'DOE25'!L329</f>
        <v>25643309.68</v>
      </c>
      <c r="H36" s="353">
        <f>F36-G36</f>
        <v>0</v>
      </c>
      <c r="I36" s="372" t="str">
        <f>IF(H36=0,"","ISSUES!! Please review page 9 and 13 totals in comparison with total on this page")</f>
        <v/>
      </c>
      <c r="N36"/>
    </row>
    <row r="37" spans="1:14" ht="12" thickTop="1" x14ac:dyDescent="0.2">
      <c r="A37" s="21" t="s">
        <v>1252</v>
      </c>
      <c r="B37" s="301">
        <f>IFERROR(VLOOKUP(A37,'School Tables'!$O$3:$P$118,2,FALSE),"")</f>
        <v>21040</v>
      </c>
      <c r="C37" s="294" t="str">
        <f t="array" ref="C37">IFERROR(INDEX('School Tables'!$N$3:$N$118,MATCH('School Level Expenditures'!B37,'School Tables'!$P$3:$P$118,0)),"")</f>
        <v>Merrimack</v>
      </c>
      <c r="D37" s="291">
        <v>24098815.68</v>
      </c>
      <c r="E37" s="359">
        <f t="shared" ref="E37" si="2">SUM(E23:E36)</f>
        <v>1544494</v>
      </c>
      <c r="F37" s="304">
        <f t="shared" ref="F37:F42" si="3">D37+E37</f>
        <v>25643309.68</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3"/>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3"/>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3"/>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3"/>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3"/>
        <v>0</v>
      </c>
      <c r="G42" s="307"/>
      <c r="H42" s="307"/>
      <c r="N42"/>
    </row>
    <row r="43" spans="1:14" ht="12" thickBot="1" x14ac:dyDescent="0.25">
      <c r="D43" s="351">
        <f>SUM(D37:D42)</f>
        <v>24098815.68</v>
      </c>
      <c r="E43" s="352">
        <f>SUM(E37:E42)</f>
        <v>1544494</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130" sqref="A13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SAU26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7379217.6399999997</v>
      </c>
      <c r="D8" s="95">
        <f>'DOE25'!G9</f>
        <v>0</v>
      </c>
      <c r="E8" s="95">
        <f>'DOE25'!H9</f>
        <v>0</v>
      </c>
      <c r="F8" s="95">
        <f>'DOE25'!I9</f>
        <v>0</v>
      </c>
      <c r="G8" s="95">
        <f>'DOE25'!J9</f>
        <v>0</v>
      </c>
      <c r="H8" s="124"/>
      <c r="I8" s="124"/>
    </row>
    <row r="9" spans="1:9" x14ac:dyDescent="0.2">
      <c r="A9" s="1" t="s">
        <v>140</v>
      </c>
      <c r="B9" s="6">
        <v>110</v>
      </c>
      <c r="C9" s="95">
        <f>'DOE25'!F10</f>
        <v>17074.080000000002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1645203.3099999998</v>
      </c>
      <c r="D11" s="95">
        <f>'DOE25'!G12</f>
        <v>0</v>
      </c>
      <c r="E11" s="95">
        <f>'DOE25'!H12</f>
        <v>0</v>
      </c>
      <c r="F11" s="95">
        <f>'DOE25'!I12</f>
        <v>0</v>
      </c>
      <c r="G11" s="95">
        <f>'DOE25'!J12</f>
        <v>1132958</v>
      </c>
      <c r="H11" s="124"/>
      <c r="I11" s="124"/>
    </row>
    <row r="12" spans="1:9" x14ac:dyDescent="0.2">
      <c r="A12" s="1" t="s">
        <v>143</v>
      </c>
      <c r="B12" s="6">
        <v>140</v>
      </c>
      <c r="C12" s="95">
        <f>'DOE25'!F13</f>
        <v>15457.32</v>
      </c>
      <c r="D12" s="95">
        <f>'DOE25'!G13</f>
        <v>0</v>
      </c>
      <c r="E12" s="95">
        <f>'DOE25'!H13</f>
        <v>1628505.88</v>
      </c>
      <c r="F12" s="95">
        <f>'DOE25'!I13</f>
        <v>0</v>
      </c>
      <c r="G12" s="95">
        <f>'DOE25'!J13</f>
        <v>0</v>
      </c>
      <c r="H12" s="124"/>
      <c r="I12" s="124"/>
    </row>
    <row r="13" spans="1:9" x14ac:dyDescent="0.2">
      <c r="A13" s="1" t="s">
        <v>144</v>
      </c>
      <c r="B13" s="6">
        <v>150</v>
      </c>
      <c r="C13" s="95">
        <f>'DOE25'!F14</f>
        <v>0</v>
      </c>
      <c r="D13" s="95">
        <f>'DOE25'!G14</f>
        <v>37208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48155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9056952.3499999996</v>
      </c>
      <c r="D18" s="41">
        <f>SUM(D8:D17)</f>
        <v>85363</v>
      </c>
      <c r="E18" s="41">
        <f>SUM(E8:E17)</f>
        <v>1628505.88</v>
      </c>
      <c r="F18" s="41">
        <f>SUM(F8:F17)</f>
        <v>0</v>
      </c>
      <c r="G18" s="41">
        <f>SUM(G8:G17)</f>
        <v>1132958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24315</v>
      </c>
      <c r="E21" s="95">
        <f>'DOE25'!H22</f>
        <v>1592372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96296.87</v>
      </c>
      <c r="D23" s="95">
        <f>'DOE25'!G24</f>
        <v>0</v>
      </c>
      <c r="E23" s="95">
        <f>'DOE25'!H24</f>
        <v>28188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61048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96296.87</v>
      </c>
      <c r="D31" s="41">
        <f>SUM(D21:D30)</f>
        <v>85363</v>
      </c>
      <c r="E31" s="41">
        <f>SUM(E21:E30)</f>
        <v>1620560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38912.15</v>
      </c>
      <c r="D47" s="95">
        <f>'DOE25'!G48</f>
        <v>0</v>
      </c>
      <c r="E47" s="95">
        <f>'DOE25'!H48</f>
        <v>7945.88</v>
      </c>
      <c r="F47" s="95">
        <f>'DOE25'!I48</f>
        <v>0</v>
      </c>
      <c r="G47" s="95">
        <f>'DOE25'!J48</f>
        <v>1132958</v>
      </c>
      <c r="H47" s="124"/>
      <c r="I47" s="124"/>
    </row>
    <row r="48" spans="1:9" x14ac:dyDescent="0.2">
      <c r="A48" s="1" t="s">
        <v>882</v>
      </c>
      <c r="B48" s="6">
        <v>753</v>
      </c>
      <c r="C48" s="95">
        <f>'DOE25'!F49</f>
        <v>758673.32</v>
      </c>
      <c r="D48" s="95">
        <f>'DOE25'!G49</f>
        <v>0</v>
      </c>
      <c r="E48" s="95">
        <f>'DOE25'!H49</f>
        <v>0</v>
      </c>
      <c r="F48" s="95">
        <f>'DOE25'!I49</f>
        <v>0</v>
      </c>
      <c r="G48" s="95">
        <f>'DOE25'!J49</f>
        <v>0</v>
      </c>
      <c r="H48" s="124"/>
      <c r="I48" s="124"/>
    </row>
    <row r="49" spans="1:9" ht="12" thickBot="1" x14ac:dyDescent="0.25">
      <c r="A49" s="29" t="s">
        <v>883</v>
      </c>
      <c r="B49" s="71">
        <v>770</v>
      </c>
      <c r="C49" s="95">
        <f>'DOE25'!F50</f>
        <v>8163070.0099999998</v>
      </c>
      <c r="D49" s="24" t="s">
        <v>288</v>
      </c>
      <c r="E49" s="24" t="s">
        <v>288</v>
      </c>
      <c r="F49" s="24" t="s">
        <v>288</v>
      </c>
      <c r="G49" s="24" t="s">
        <v>288</v>
      </c>
      <c r="H49" s="124"/>
      <c r="I49" s="124"/>
    </row>
    <row r="50" spans="1:9" ht="12.75" thickTop="1" thickBot="1" x14ac:dyDescent="0.25">
      <c r="A50" s="38" t="s">
        <v>884</v>
      </c>
      <c r="B50" s="48"/>
      <c r="C50" s="41">
        <f>SUM(C34:C49)</f>
        <v>8960655.4800000004</v>
      </c>
      <c r="D50" s="41">
        <f>SUM(D34:D49)</f>
        <v>0</v>
      </c>
      <c r="E50" s="41">
        <f>SUM(E34:E49)</f>
        <v>7945.88</v>
      </c>
      <c r="F50" s="41">
        <f>SUM(F34:F49)</f>
        <v>0</v>
      </c>
      <c r="G50" s="41">
        <f>SUM(G34:G49)</f>
        <v>1132958</v>
      </c>
      <c r="H50" s="124"/>
      <c r="I50" s="124"/>
    </row>
    <row r="51" spans="1:9" ht="12" thickTop="1" x14ac:dyDescent="0.2">
      <c r="A51" s="38" t="s">
        <v>885</v>
      </c>
      <c r="B51" s="2"/>
      <c r="C51" s="41">
        <f>C50+C31</f>
        <v>9056952.3499999996</v>
      </c>
      <c r="D51" s="41">
        <f>D50+D31</f>
        <v>85363</v>
      </c>
      <c r="E51" s="41">
        <f>E50+E31</f>
        <v>1628505.88</v>
      </c>
      <c r="F51" s="41">
        <f>F50+F31</f>
        <v>0</v>
      </c>
      <c r="G51" s="41">
        <f>G50+G31</f>
        <v>1132958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55645671</v>
      </c>
      <c r="D56" s="95">
        <f>'DOE25'!G60</f>
        <v>0</v>
      </c>
      <c r="E56" s="95">
        <f>'DOE25'!H60</f>
        <v>0</v>
      </c>
      <c r="F56" s="95">
        <f>'DOE25'!I60</f>
        <v>0</v>
      </c>
      <c r="G56" s="95">
        <f>'DOE25'!J60</f>
        <v>0</v>
      </c>
      <c r="H56"/>
      <c r="I56"/>
    </row>
    <row r="57" spans="1:9" x14ac:dyDescent="0.2">
      <c r="A57" s="1" t="s">
        <v>164</v>
      </c>
      <c r="B57" s="6" t="s">
        <v>165</v>
      </c>
      <c r="C57" s="95">
        <f>'DOE25'!F79</f>
        <v>19230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19081</v>
      </c>
      <c r="D59" s="95">
        <f>'DOE25'!G96</f>
        <v>0</v>
      </c>
      <c r="E59" s="95">
        <f>'DOE25'!H96</f>
        <v>0</v>
      </c>
      <c r="F59" s="95">
        <f>'DOE25'!I96</f>
        <v>0</v>
      </c>
      <c r="G59" s="95">
        <f>'DOE25'!J96</f>
        <v>3043</v>
      </c>
      <c r="H59"/>
      <c r="I59"/>
    </row>
    <row r="60" spans="1:9" x14ac:dyDescent="0.2">
      <c r="A60" s="1" t="s">
        <v>170</v>
      </c>
      <c r="B60" s="118" t="s">
        <v>171</v>
      </c>
      <c r="C60" s="24" t="s">
        <v>288</v>
      </c>
      <c r="D60" s="95">
        <f>'DOE25'!G97</f>
        <v>49939</v>
      </c>
      <c r="E60" s="24" t="s">
        <v>288</v>
      </c>
      <c r="F60" s="24" t="s">
        <v>288</v>
      </c>
      <c r="G60" s="24" t="s">
        <v>288</v>
      </c>
      <c r="H60"/>
      <c r="I60"/>
    </row>
    <row r="61" spans="1:9" ht="12" thickBot="1" x14ac:dyDescent="0.25">
      <c r="A61" s="1" t="s">
        <v>172</v>
      </c>
      <c r="B61" s="118" t="s">
        <v>173</v>
      </c>
      <c r="C61" s="95">
        <f>SUM('DOE25'!F98:F110)</f>
        <v>667084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705395</v>
      </c>
      <c r="D62" s="130">
        <f>SUM(D57:D61)</f>
        <v>49939</v>
      </c>
      <c r="E62" s="130">
        <f>SUM(E57:E61)</f>
        <v>0</v>
      </c>
      <c r="F62" s="130">
        <f>SUM(F57:F61)</f>
        <v>0</v>
      </c>
      <c r="G62" s="130">
        <f>SUM(G57:G61)</f>
        <v>3043</v>
      </c>
      <c r="H62"/>
      <c r="I62"/>
    </row>
    <row r="63" spans="1:9" ht="12" thickTop="1" x14ac:dyDescent="0.2">
      <c r="A63" s="29" t="s">
        <v>175</v>
      </c>
      <c r="B63" s="6"/>
      <c r="C63" s="22">
        <f>C56+C62</f>
        <v>56351066</v>
      </c>
      <c r="D63" s="22">
        <f>D56+D62</f>
        <v>49939</v>
      </c>
      <c r="E63" s="22">
        <f>E56+E62</f>
        <v>0</v>
      </c>
      <c r="F63" s="22">
        <f>F56+F62</f>
        <v>0</v>
      </c>
      <c r="G63" s="22">
        <f>G56+G62</f>
        <v>3043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9001343</v>
      </c>
      <c r="D66" s="24" t="s">
        <v>288</v>
      </c>
      <c r="E66" s="24" t="s">
        <v>288</v>
      </c>
      <c r="F66" s="24" t="s">
        <v>288</v>
      </c>
      <c r="G66" s="24" t="s">
        <v>288</v>
      </c>
      <c r="H66"/>
      <c r="I66"/>
    </row>
    <row r="67" spans="1:9" x14ac:dyDescent="0.2">
      <c r="A67" s="1" t="s">
        <v>770</v>
      </c>
      <c r="B67" s="6">
        <v>3112</v>
      </c>
      <c r="C67" s="95">
        <f>'DOE25'!F118</f>
        <v>7273632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12988.82</v>
      </c>
      <c r="D69" s="95">
        <f>'DOE25'!G120</f>
        <v>0</v>
      </c>
      <c r="E69" s="95">
        <f>'DOE25'!H120</f>
        <v>0</v>
      </c>
      <c r="F69" s="95">
        <f>'DOE25'!I120</f>
        <v>0</v>
      </c>
      <c r="G69" s="95">
        <f>'DOE25'!J120</f>
        <v>0</v>
      </c>
      <c r="H69"/>
      <c r="I69"/>
    </row>
    <row r="70" spans="1:9" ht="12" thickTop="1" x14ac:dyDescent="0.2">
      <c r="A70" s="29" t="s">
        <v>252</v>
      </c>
      <c r="B70" s="2"/>
      <c r="C70" s="139">
        <f>SUM(C66:C69)</f>
        <v>16287963.82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321000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923016</v>
      </c>
      <c r="D75" s="24" t="s">
        <v>288</v>
      </c>
      <c r="E75" s="24" t="s">
        <v>288</v>
      </c>
      <c r="F75" s="24" t="s">
        <v>288</v>
      </c>
      <c r="G75" s="24" t="s">
        <v>288</v>
      </c>
      <c r="H75"/>
      <c r="I75"/>
    </row>
    <row r="76" spans="1:9" x14ac:dyDescent="0.2">
      <c r="A76" s="1" t="s">
        <v>257</v>
      </c>
      <c r="B76" s="6" t="s">
        <v>179</v>
      </c>
      <c r="C76" s="95">
        <f>SUM('DOE25'!F127:F130)</f>
        <v>10228.719999999999</v>
      </c>
      <c r="D76" s="24" t="s">
        <v>288</v>
      </c>
      <c r="E76" s="95">
        <f>SUM('DOE25'!H127:H130)</f>
        <v>6354</v>
      </c>
      <c r="F76" s="95">
        <f>SUM('DOE25'!I127:I130)</f>
        <v>0</v>
      </c>
      <c r="G76" s="24" t="s">
        <v>288</v>
      </c>
      <c r="H76"/>
      <c r="I76"/>
    </row>
    <row r="77" spans="1:9" ht="12" thickBot="1" x14ac:dyDescent="0.25">
      <c r="A77" s="1" t="s">
        <v>258</v>
      </c>
      <c r="B77" s="6" t="s">
        <v>180</v>
      </c>
      <c r="C77" s="95">
        <f>SUM('DOE25'!F131:F135)</f>
        <v>214001.46</v>
      </c>
      <c r="D77" s="95">
        <f>SUM('DOE25'!G131:G135)</f>
        <v>15659</v>
      </c>
      <c r="E77" s="95">
        <f>SUM('DOE25'!H131:H135)</f>
        <v>52908</v>
      </c>
      <c r="F77" s="95">
        <f>SUM('DOE25'!I131:I135)</f>
        <v>0</v>
      </c>
      <c r="G77" s="95">
        <f>SUM('DOE25'!J131:J135)</f>
        <v>0</v>
      </c>
      <c r="H77"/>
      <c r="I77"/>
    </row>
    <row r="78" spans="1:9" ht="12.75" thickTop="1" thickBot="1" x14ac:dyDescent="0.25">
      <c r="A78" s="29" t="s">
        <v>259</v>
      </c>
      <c r="B78" s="6"/>
      <c r="C78" s="130">
        <f>SUM(C72:C77)</f>
        <v>1468246.18</v>
      </c>
      <c r="D78" s="130">
        <f>SUM(D72:D77)</f>
        <v>15659</v>
      </c>
      <c r="E78" s="130">
        <f>SUM(E72:E77)</f>
        <v>59262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17756210</v>
      </c>
      <c r="D81" s="130">
        <f>SUM(D79:D80)+D78+D70</f>
        <v>15659</v>
      </c>
      <c r="E81" s="130">
        <f>SUM(E79:E80)+E78+E70</f>
        <v>59262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65953</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309620</v>
      </c>
      <c r="D88" s="331">
        <f>SUM('DOE25'!G153:G162)</f>
        <v>377731</v>
      </c>
      <c r="E88" s="331">
        <f>SUM('DOE25'!H153:H162)</f>
        <v>3148635.88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309620</v>
      </c>
      <c r="D91" s="131">
        <f>SUM(D85:D90)</f>
        <v>443684</v>
      </c>
      <c r="E91" s="131">
        <f>SUM(E85:E90)</f>
        <v>3148635.88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299321</v>
      </c>
      <c r="E96" s="95">
        <f>'DOE25'!H180</f>
        <v>0</v>
      </c>
      <c r="F96" s="95">
        <f>'DOE25'!I180</f>
        <v>0</v>
      </c>
      <c r="G96" s="95">
        <f>'DOE25'!J180</f>
        <v>150000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299321</v>
      </c>
      <c r="E103" s="86">
        <f>SUM(E93:E102)</f>
        <v>0</v>
      </c>
      <c r="F103" s="86">
        <f>SUM(F93:F102)</f>
        <v>0</v>
      </c>
      <c r="G103" s="86">
        <f>SUM(G93:G102)</f>
        <v>150000</v>
      </c>
    </row>
    <row r="104" spans="1:7" ht="12.75" thickTop="1" thickBot="1" x14ac:dyDescent="0.25">
      <c r="A104" s="33" t="s">
        <v>761</v>
      </c>
      <c r="C104" s="86">
        <f>C63+C81+C91+C103</f>
        <v>74416896</v>
      </c>
      <c r="D104" s="86">
        <f>D63+D81+D91+D103</f>
        <v>808603</v>
      </c>
      <c r="E104" s="86">
        <f>E63+E81+E91+E103</f>
        <v>3207897.88</v>
      </c>
      <c r="F104" s="86">
        <f>F63+F81+F91+F103</f>
        <v>0</v>
      </c>
      <c r="G104" s="86">
        <f>G63+G81+G103</f>
        <v>153043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29222468.343676236</v>
      </c>
      <c r="D109" s="24" t="s">
        <v>288</v>
      </c>
      <c r="E109" s="95">
        <f>('DOE25'!L277)+('DOE25'!L296)+('DOE25'!L315)</f>
        <v>1518976</v>
      </c>
      <c r="F109" s="24" t="s">
        <v>288</v>
      </c>
      <c r="G109" s="24" t="s">
        <v>288</v>
      </c>
    </row>
    <row r="110" spans="1:7" x14ac:dyDescent="0.2">
      <c r="A110" t="s">
        <v>198</v>
      </c>
      <c r="B110" s="32" t="s">
        <v>199</v>
      </c>
      <c r="C110" s="95">
        <f>('DOE25'!L199)+('DOE25'!L217)+('DOE25'!L235)</f>
        <v>15763300.202585937</v>
      </c>
      <c r="D110" s="24" t="s">
        <v>288</v>
      </c>
      <c r="E110" s="95">
        <f>('DOE25'!L278)+('DOE25'!L297)+('DOE25'!L316)</f>
        <v>663856</v>
      </c>
      <c r="F110" s="24" t="s">
        <v>288</v>
      </c>
      <c r="G110" s="24" t="s">
        <v>288</v>
      </c>
    </row>
    <row r="111" spans="1:7" x14ac:dyDescent="0.2">
      <c r="A111" t="s">
        <v>200</v>
      </c>
      <c r="B111" s="32" t="s">
        <v>165</v>
      </c>
      <c r="C111" s="95">
        <f>('DOE25'!L200)+('DOE25'!L218)+('DOE25'!L236)</f>
        <v>8793.2900000000009</v>
      </c>
      <c r="D111" s="24" t="s">
        <v>288</v>
      </c>
      <c r="E111" s="95">
        <f>('DOE25'!L279)+('DOE25'!L298)+('DOE25'!L317)</f>
        <v>0</v>
      </c>
      <c r="F111" s="24" t="s">
        <v>288</v>
      </c>
      <c r="G111" s="24" t="s">
        <v>288</v>
      </c>
    </row>
    <row r="112" spans="1:7" x14ac:dyDescent="0.2">
      <c r="A112" t="s">
        <v>201</v>
      </c>
      <c r="B112" s="32" t="s">
        <v>167</v>
      </c>
      <c r="C112" s="95">
        <f>('DOE25'!L201)+('DOE25'!L219)+('DOE25'!L237)</f>
        <v>906636.85104200966</v>
      </c>
      <c r="D112" s="24" t="s">
        <v>288</v>
      </c>
      <c r="E112" s="95">
        <f>+('DOE25'!L280)+('DOE25'!L299)+('DOE25'!L318)</f>
        <v>38682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45901198.687304184</v>
      </c>
      <c r="D115" s="86">
        <f>SUM(D109:D114)</f>
        <v>0</v>
      </c>
      <c r="E115" s="86">
        <f>SUM(E109:E114)</f>
        <v>2221514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5785585.3750599194</v>
      </c>
      <c r="D118" s="24" t="s">
        <v>288</v>
      </c>
      <c r="E118" s="95">
        <f>+('DOE25'!L282)+('DOE25'!L301)+('DOE25'!L320)</f>
        <v>598693</v>
      </c>
      <c r="F118" s="24" t="s">
        <v>288</v>
      </c>
      <c r="G118" s="24" t="s">
        <v>288</v>
      </c>
    </row>
    <row r="119" spans="1:7" x14ac:dyDescent="0.2">
      <c r="A119" t="s">
        <v>208</v>
      </c>
      <c r="B119" s="32" t="s">
        <v>209</v>
      </c>
      <c r="C119" s="95">
        <f>('DOE25'!L204)+('DOE25'!L222)+('DOE25'!L240)</f>
        <v>1730936.9446625724</v>
      </c>
      <c r="D119" s="24" t="s">
        <v>288</v>
      </c>
      <c r="E119" s="95">
        <f>+('DOE25'!L283)+('DOE25'!L302)+('DOE25'!L321)</f>
        <v>303776</v>
      </c>
      <c r="F119" s="24" t="s">
        <v>288</v>
      </c>
      <c r="G119" s="24" t="s">
        <v>288</v>
      </c>
    </row>
    <row r="120" spans="1:7" x14ac:dyDescent="0.2">
      <c r="A120" t="s">
        <v>210</v>
      </c>
      <c r="B120" s="32" t="s">
        <v>211</v>
      </c>
      <c r="C120" s="95">
        <f>('DOE25'!L205)+('DOE25'!L223)+('DOE25'!L241)</f>
        <v>2336599.1023290846</v>
      </c>
      <c r="D120" s="24" t="s">
        <v>288</v>
      </c>
      <c r="E120" s="95">
        <f>+('DOE25'!L284)+('DOE25'!L303)+('DOE25'!L322)</f>
        <v>94800.88</v>
      </c>
      <c r="F120" s="24" t="s">
        <v>288</v>
      </c>
      <c r="G120" s="24" t="s">
        <v>288</v>
      </c>
    </row>
    <row r="121" spans="1:7" x14ac:dyDescent="0.2">
      <c r="A121" t="s">
        <v>212</v>
      </c>
      <c r="B121" s="32" t="s">
        <v>213</v>
      </c>
      <c r="C121" s="95">
        <f>('DOE25'!L206)+('DOE25'!L224)+('DOE25'!L242)</f>
        <v>3585254.2752099009</v>
      </c>
      <c r="D121" s="24" t="s">
        <v>288</v>
      </c>
      <c r="E121" s="95">
        <f>+('DOE25'!L285)+('DOE25'!L304)+('DOE25'!L323)</f>
        <v>0</v>
      </c>
      <c r="F121" s="24" t="s">
        <v>288</v>
      </c>
      <c r="G121" s="24" t="s">
        <v>288</v>
      </c>
    </row>
    <row r="122" spans="1:7" x14ac:dyDescent="0.2">
      <c r="A122" t="s">
        <v>214</v>
      </c>
      <c r="B122" s="32" t="s">
        <v>215</v>
      </c>
      <c r="C122" s="95">
        <f>('DOE25'!L207)+('DOE25'!L225)+('DOE25'!L243)</f>
        <v>697985.51300337631</v>
      </c>
      <c r="D122" s="24" t="s">
        <v>288</v>
      </c>
      <c r="E122" s="95">
        <f>+('DOE25'!L286)+('DOE25'!L305)+('DOE25'!L324)</f>
        <v>0</v>
      </c>
      <c r="F122" s="24" t="s">
        <v>288</v>
      </c>
      <c r="G122" s="24" t="s">
        <v>288</v>
      </c>
    </row>
    <row r="123" spans="1:7" x14ac:dyDescent="0.2">
      <c r="A123" t="s">
        <v>216</v>
      </c>
      <c r="B123" s="32" t="s">
        <v>217</v>
      </c>
      <c r="C123" s="95">
        <f>('DOE25'!L208)+('DOE25'!L226)+('DOE25'!L244)</f>
        <v>4944936.3504756708</v>
      </c>
      <c r="D123" s="24" t="s">
        <v>288</v>
      </c>
      <c r="E123" s="95">
        <f>+('DOE25'!L287)+('DOE25'!L306)+('DOE25'!L325)</f>
        <v>79099</v>
      </c>
      <c r="F123" s="24" t="s">
        <v>288</v>
      </c>
      <c r="G123" s="24" t="s">
        <v>288</v>
      </c>
    </row>
    <row r="124" spans="1:7" x14ac:dyDescent="0.2">
      <c r="A124" t="s">
        <v>218</v>
      </c>
      <c r="B124" s="32" t="s">
        <v>219</v>
      </c>
      <c r="C124" s="95">
        <f>('DOE25'!L209)+('DOE25'!L227)+('DOE25'!L245+'DOE25'!L255)</f>
        <v>3381295.9468395887</v>
      </c>
      <c r="D124" s="24" t="s">
        <v>288</v>
      </c>
      <c r="E124" s="95">
        <f>+('DOE25'!L288)+('DOE25'!L307)+('DOE25'!L326)</f>
        <v>0</v>
      </c>
      <c r="F124" s="24" t="s">
        <v>288</v>
      </c>
      <c r="G124" s="24" t="s">
        <v>288</v>
      </c>
    </row>
    <row r="125" spans="1:7" x14ac:dyDescent="0.2">
      <c r="A125" t="s">
        <v>220</v>
      </c>
      <c r="B125" s="32" t="s">
        <v>221</v>
      </c>
      <c r="C125" s="95">
        <f>('DOE25'!L210)+('DOE25'!L228)+('DOE25'!L246)</f>
        <v>240927.87511570571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859426</v>
      </c>
      <c r="E127" s="24" t="s">
        <v>288</v>
      </c>
      <c r="F127" s="24" t="s">
        <v>288</v>
      </c>
      <c r="G127" s="24" t="s">
        <v>288</v>
      </c>
    </row>
    <row r="128" spans="1:7" ht="12.75" thickTop="1" thickBot="1" x14ac:dyDescent="0.25">
      <c r="A128" s="33" t="s">
        <v>226</v>
      </c>
      <c r="C128" s="86">
        <f>SUM(C118:C127)</f>
        <v>22703521.38269582</v>
      </c>
      <c r="D128" s="86">
        <f>SUM(D118:D127)</f>
        <v>859426</v>
      </c>
      <c r="E128" s="86">
        <f>SUM(E118:E127)</f>
        <v>1076368.8799999999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344571.32</v>
      </c>
      <c r="D130" s="24" t="s">
        <v>288</v>
      </c>
      <c r="E130" s="129">
        <f>'DOE25'!L337</f>
        <v>0</v>
      </c>
      <c r="F130" s="129">
        <f>SUM('DOE25'!L375:'DOE25'!L381)</f>
        <v>0</v>
      </c>
      <c r="G130" s="24" t="s">
        <v>288</v>
      </c>
    </row>
    <row r="131" spans="1:7" x14ac:dyDescent="0.2">
      <c r="A131" t="s">
        <v>229</v>
      </c>
      <c r="B131" s="32">
        <v>5110</v>
      </c>
      <c r="C131" s="95">
        <f>'DOE25'!L261</f>
        <v>1070000</v>
      </c>
      <c r="D131" s="24" t="s">
        <v>288</v>
      </c>
      <c r="E131" s="129">
        <f>'DOE25'!L342</f>
        <v>0</v>
      </c>
      <c r="F131" s="24" t="s">
        <v>288</v>
      </c>
      <c r="G131" s="24" t="s">
        <v>288</v>
      </c>
    </row>
    <row r="132" spans="1:7" x14ac:dyDescent="0.2">
      <c r="A132" t="s">
        <v>230</v>
      </c>
      <c r="B132" s="32">
        <v>5120</v>
      </c>
      <c r="C132" s="95">
        <f>'DOE25'!L262</f>
        <v>98746.25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299321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153043</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-3043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1962638.57</v>
      </c>
      <c r="D144" s="141">
        <f>SUM(D130:D143)</f>
        <v>0</v>
      </c>
      <c r="E144" s="141">
        <f>SUM(E130:E143)</f>
        <v>0</v>
      </c>
      <c r="F144" s="141">
        <f>SUM(F130:F143)</f>
        <v>0</v>
      </c>
      <c r="G144" s="141">
        <f>SUM(G130:G143)</f>
        <v>0</v>
      </c>
    </row>
    <row r="145" spans="1:9" ht="12.75" thickTop="1" thickBot="1" x14ac:dyDescent="0.25">
      <c r="A145" s="33" t="s">
        <v>244</v>
      </c>
      <c r="C145" s="86">
        <f>(C115+C128+C144)</f>
        <v>70567358.640000001</v>
      </c>
      <c r="D145" s="86">
        <f>(D115+D128+D144)</f>
        <v>859426</v>
      </c>
      <c r="E145" s="86">
        <f>(E115+E128+E144)</f>
        <v>3297882.88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2/01</v>
      </c>
      <c r="C152" s="152" t="str">
        <f>'DOE25'!G492</f>
        <v>2/04</v>
      </c>
      <c r="D152" s="152">
        <f>'DOE25'!H492</f>
        <v>0</v>
      </c>
      <c r="E152" s="152">
        <f>'DOE25'!I492</f>
        <v>0</v>
      </c>
      <c r="F152" s="152">
        <f>'DOE25'!J492</f>
        <v>0</v>
      </c>
      <c r="G152" s="24" t="s">
        <v>288</v>
      </c>
    </row>
    <row r="153" spans="1:9" x14ac:dyDescent="0.2">
      <c r="A153" s="136" t="s">
        <v>29</v>
      </c>
      <c r="B153" s="152" t="str">
        <f>'DOE25'!F493</f>
        <v>8/20</v>
      </c>
      <c r="C153" s="152" t="str">
        <f>'DOE25'!G493</f>
        <v>8/23</v>
      </c>
      <c r="D153" s="152">
        <f>'DOE25'!H493</f>
        <v>0</v>
      </c>
      <c r="E153" s="152">
        <f>'DOE25'!I493</f>
        <v>0</v>
      </c>
      <c r="F153" s="152">
        <f>'DOE25'!J493</f>
        <v>0</v>
      </c>
      <c r="G153" s="24" t="s">
        <v>288</v>
      </c>
    </row>
    <row r="154" spans="1:9" x14ac:dyDescent="0.2">
      <c r="A154" s="136" t="s">
        <v>30</v>
      </c>
      <c r="B154" s="137">
        <f>'DOE25'!F494</f>
        <v>5915851</v>
      </c>
      <c r="C154" s="137">
        <f>'DOE25'!G494</f>
        <v>15525000</v>
      </c>
      <c r="D154" s="137">
        <f>'DOE25'!H494</f>
        <v>0</v>
      </c>
      <c r="E154" s="137">
        <f>'DOE25'!I494</f>
        <v>0</v>
      </c>
      <c r="F154" s="137">
        <f>'DOE25'!J494</f>
        <v>0</v>
      </c>
      <c r="G154" s="24" t="s">
        <v>288</v>
      </c>
    </row>
    <row r="155" spans="1:9" x14ac:dyDescent="0.2">
      <c r="A155" s="136" t="s">
        <v>31</v>
      </c>
      <c r="B155" s="137">
        <f>'DOE25'!F495</f>
        <v>5.31</v>
      </c>
      <c r="C155" s="137">
        <f>'DOE25'!G495</f>
        <v>3.52</v>
      </c>
      <c r="D155" s="137">
        <f>'DOE25'!H495</f>
        <v>0</v>
      </c>
      <c r="E155" s="137">
        <f>'DOE25'!I495</f>
        <v>0</v>
      </c>
      <c r="F155" s="137">
        <f>'DOE25'!J495</f>
        <v>0</v>
      </c>
      <c r="G155" s="24" t="s">
        <v>288</v>
      </c>
    </row>
    <row r="156" spans="1:9" x14ac:dyDescent="0.2">
      <c r="A156" s="22" t="s">
        <v>32</v>
      </c>
      <c r="B156" s="137">
        <f>'DOE25'!F496</f>
        <v>354000</v>
      </c>
      <c r="C156" s="137">
        <f>'DOE25'!G496</f>
        <v>2325000</v>
      </c>
      <c r="D156" s="137">
        <f>'DOE25'!H496</f>
        <v>0</v>
      </c>
      <c r="E156" s="137">
        <f>'DOE25'!I496</f>
        <v>0</v>
      </c>
      <c r="F156" s="137">
        <f>'DOE25'!J496</f>
        <v>0</v>
      </c>
      <c r="G156" s="138">
        <f>SUM(B156:F156)</f>
        <v>2679000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354000</v>
      </c>
      <c r="C158" s="137">
        <f>'DOE25'!G498</f>
        <v>775000</v>
      </c>
      <c r="D158" s="137">
        <f>'DOE25'!H498</f>
        <v>0</v>
      </c>
      <c r="E158" s="137">
        <f>'DOE25'!I498</f>
        <v>0</v>
      </c>
      <c r="F158" s="137">
        <f>'DOE25'!J498</f>
        <v>0</v>
      </c>
      <c r="G158" s="138">
        <f t="shared" si="0"/>
        <v>1129000</v>
      </c>
    </row>
    <row r="159" spans="1:9" x14ac:dyDescent="0.2">
      <c r="A159" s="22" t="s">
        <v>35</v>
      </c>
      <c r="B159" s="137">
        <f>'DOE25'!F499</f>
        <v>0</v>
      </c>
      <c r="C159" s="137">
        <f>'DOE25'!G499</f>
        <v>2325000</v>
      </c>
      <c r="D159" s="137">
        <f>'DOE25'!H499</f>
        <v>0</v>
      </c>
      <c r="E159" s="137">
        <f>'DOE25'!I499</f>
        <v>0</v>
      </c>
      <c r="F159" s="137">
        <f>'DOE25'!J499</f>
        <v>0</v>
      </c>
      <c r="G159" s="138">
        <f t="shared" si="0"/>
        <v>2325000</v>
      </c>
    </row>
    <row r="160" spans="1:9" x14ac:dyDescent="0.2">
      <c r="A160" s="22" t="s">
        <v>36</v>
      </c>
      <c r="B160" s="137">
        <f>'DOE25'!F500</f>
        <v>0</v>
      </c>
      <c r="C160" s="137">
        <f>'DOE25'!G500</f>
        <v>679093</v>
      </c>
      <c r="D160" s="137">
        <f>'DOE25'!H500</f>
        <v>0</v>
      </c>
      <c r="E160" s="137">
        <f>'DOE25'!I500</f>
        <v>0</v>
      </c>
      <c r="F160" s="137">
        <f>'DOE25'!J500</f>
        <v>0</v>
      </c>
      <c r="G160" s="138">
        <f t="shared" si="0"/>
        <v>679093</v>
      </c>
    </row>
    <row r="161" spans="1:7" x14ac:dyDescent="0.2">
      <c r="A161" s="22" t="s">
        <v>37</v>
      </c>
      <c r="B161" s="137">
        <f>'DOE25'!F501</f>
        <v>0</v>
      </c>
      <c r="C161" s="137">
        <f>'DOE25'!G501</f>
        <v>3004093</v>
      </c>
      <c r="D161" s="137">
        <f>'DOE25'!H501</f>
        <v>0</v>
      </c>
      <c r="E161" s="137">
        <f>'DOE25'!I501</f>
        <v>0</v>
      </c>
      <c r="F161" s="137">
        <f>'DOE25'!J501</f>
        <v>0</v>
      </c>
      <c r="G161" s="138">
        <f t="shared" si="0"/>
        <v>3004093</v>
      </c>
    </row>
    <row r="162" spans="1:7" x14ac:dyDescent="0.2">
      <c r="A162" s="22" t="s">
        <v>38</v>
      </c>
      <c r="B162" s="137">
        <f>'DOE25'!F502</f>
        <v>0</v>
      </c>
      <c r="C162" s="137">
        <f>'DOE25'!G502</f>
        <v>775000</v>
      </c>
      <c r="D162" s="137">
        <f>'DOE25'!H502</f>
        <v>0</v>
      </c>
      <c r="E162" s="137">
        <f>'DOE25'!I502</f>
        <v>0</v>
      </c>
      <c r="F162" s="137">
        <f>'DOE25'!J502</f>
        <v>0</v>
      </c>
      <c r="G162" s="138">
        <f t="shared" si="0"/>
        <v>775000</v>
      </c>
    </row>
    <row r="163" spans="1:7" x14ac:dyDescent="0.2">
      <c r="A163" s="22" t="s">
        <v>39</v>
      </c>
      <c r="B163" s="137">
        <f>'DOE25'!F503</f>
        <v>0</v>
      </c>
      <c r="C163" s="137">
        <f>'DOE25'!G503</f>
        <v>116098</v>
      </c>
      <c r="D163" s="137">
        <f>'DOE25'!H503</f>
        <v>0</v>
      </c>
      <c r="E163" s="137">
        <f>'DOE25'!I503</f>
        <v>0</v>
      </c>
      <c r="F163" s="137">
        <f>'DOE25'!J503</f>
        <v>0</v>
      </c>
      <c r="G163" s="138">
        <f t="shared" si="0"/>
        <v>116098</v>
      </c>
    </row>
    <row r="164" spans="1:7" x14ac:dyDescent="0.2">
      <c r="A164" s="22" t="s">
        <v>246</v>
      </c>
      <c r="B164" s="137">
        <f>'DOE25'!F504</f>
        <v>0</v>
      </c>
      <c r="C164" s="137">
        <f>'DOE25'!G504</f>
        <v>891098</v>
      </c>
      <c r="D164" s="137">
        <f>'DOE25'!H504</f>
        <v>0</v>
      </c>
      <c r="E164" s="137">
        <f>'DOE25'!I504</f>
        <v>0</v>
      </c>
      <c r="F164" s="137">
        <f>'DOE25'!J504</f>
        <v>0</v>
      </c>
      <c r="G164" s="138">
        <f t="shared" si="0"/>
        <v>891098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Merrimack SAU26</v>
      </c>
    </row>
    <row r="3" spans="1:4" x14ac:dyDescent="0.2">
      <c r="B3" s="188" t="s">
        <v>1666</v>
      </c>
    </row>
    <row r="4" spans="1:4" x14ac:dyDescent="0.2">
      <c r="B4" t="s">
        <v>61</v>
      </c>
      <c r="C4" s="179">
        <f>IF('DOE25'!F666+'DOE25'!F671=0,0,ROUND('DOE25'!F673,0))</f>
        <v>18795</v>
      </c>
    </row>
    <row r="5" spans="1:4" x14ac:dyDescent="0.2">
      <c r="B5" t="s">
        <v>700</v>
      </c>
      <c r="C5" s="179">
        <f>IF('DOE25'!G666+'DOE25'!G671=0,0,ROUND('DOE25'!G673,0))</f>
        <v>19288</v>
      </c>
    </row>
    <row r="6" spans="1:4" x14ac:dyDescent="0.2">
      <c r="B6" t="s">
        <v>62</v>
      </c>
      <c r="C6" s="179">
        <f>IF('DOE25'!H666+'DOE25'!H671=0,0,ROUND('DOE25'!H673,0))</f>
        <v>18724</v>
      </c>
    </row>
    <row r="7" spans="1:4" x14ac:dyDescent="0.2">
      <c r="B7" t="s">
        <v>701</v>
      </c>
      <c r="C7" s="179">
        <f>IF('DOE25'!I666+'DOE25'!I671=0,0,ROUND('DOE25'!I673,0))</f>
        <v>18849</v>
      </c>
    </row>
    <row r="9" spans="1:4" x14ac:dyDescent="0.2">
      <c r="A9" s="187" t="s">
        <v>94</v>
      </c>
      <c r="B9" s="188" t="s">
        <v>1671</v>
      </c>
      <c r="C9" s="181" t="s">
        <v>720</v>
      </c>
      <c r="D9" s="181" t="s">
        <v>721</v>
      </c>
    </row>
    <row r="10" spans="1:4" x14ac:dyDescent="0.2">
      <c r="A10">
        <v>1100</v>
      </c>
      <c r="B10" t="s">
        <v>702</v>
      </c>
      <c r="C10" s="179">
        <f>ROUND('DOE25'!L198+'DOE25'!L216+'DOE25'!L234+'DOE25'!L277+'DOE25'!L296+'DOE25'!L315,0)</f>
        <v>30741444</v>
      </c>
      <c r="D10" s="182">
        <f>ROUND((C10/$C$28)*100,1)</f>
        <v>42.2</v>
      </c>
    </row>
    <row r="11" spans="1:4" x14ac:dyDescent="0.2">
      <c r="A11">
        <v>1200</v>
      </c>
      <c r="B11" t="s">
        <v>703</v>
      </c>
      <c r="C11" s="179">
        <f>ROUND('DOE25'!L199+'DOE25'!L217+'DOE25'!L235+'DOE25'!L278+'DOE25'!L297+'DOE25'!L316,0)</f>
        <v>16427156</v>
      </c>
      <c r="D11" s="182">
        <f>ROUND((C11/$C$28)*100,1)</f>
        <v>22.6</v>
      </c>
    </row>
    <row r="12" spans="1:4" x14ac:dyDescent="0.2">
      <c r="A12">
        <v>1300</v>
      </c>
      <c r="B12" t="s">
        <v>704</v>
      </c>
      <c r="C12" s="179">
        <f>ROUND('DOE25'!L200+'DOE25'!L218+'DOE25'!L236+'DOE25'!L279+'DOE25'!L298+'DOE25'!L317,0)</f>
        <v>8793</v>
      </c>
      <c r="D12" s="182">
        <f>ROUND((C12/$C$28)*100,1)</f>
        <v>0</v>
      </c>
    </row>
    <row r="13" spans="1:4" x14ac:dyDescent="0.2">
      <c r="A13">
        <v>1400</v>
      </c>
      <c r="B13" t="s">
        <v>705</v>
      </c>
      <c r="C13" s="179">
        <f>ROUND('DOE25'!L201+'DOE25'!L219+'DOE25'!L237+'DOE25'!L280+'DOE25'!L299+'DOE25'!L318,0)</f>
        <v>945319</v>
      </c>
      <c r="D13" s="182">
        <f>ROUND((C13/$C$28)*100,1)</f>
        <v>1.3</v>
      </c>
    </row>
    <row r="14" spans="1:4" x14ac:dyDescent="0.2">
      <c r="D14" s="182"/>
    </row>
    <row r="15" spans="1:4" x14ac:dyDescent="0.2">
      <c r="A15">
        <v>2100</v>
      </c>
      <c r="B15" t="s">
        <v>706</v>
      </c>
      <c r="C15" s="179">
        <f>ROUND('DOE25'!L203+'DOE25'!L221+'DOE25'!L239+'DOE25'!L282+'DOE25'!L301+'DOE25'!L320,0)</f>
        <v>6384278</v>
      </c>
      <c r="D15" s="182">
        <f t="shared" ref="D15:D27" si="0">ROUND((C15/$C$28)*100,1)</f>
        <v>8.8000000000000007</v>
      </c>
    </row>
    <row r="16" spans="1:4" x14ac:dyDescent="0.2">
      <c r="A16">
        <v>2200</v>
      </c>
      <c r="B16" t="s">
        <v>707</v>
      </c>
      <c r="C16" s="179">
        <f>ROUND('DOE25'!L204+'DOE25'!L222+'DOE25'!L240+'DOE25'!L283+'DOE25'!L302+'DOE25'!L321,0)</f>
        <v>2034713</v>
      </c>
      <c r="D16" s="182">
        <f t="shared" si="0"/>
        <v>2.8</v>
      </c>
    </row>
    <row r="17" spans="1:4" x14ac:dyDescent="0.2">
      <c r="A17" s="183" t="s">
        <v>723</v>
      </c>
      <c r="B17" t="s">
        <v>738</v>
      </c>
      <c r="C17" s="179">
        <f>ROUND('DOE25'!L205+'DOE25'!L210+'DOE25'!L223+'DOE25'!L228+'DOE25'!L241+'DOE25'!L246+'DOE25'!L284+'DOE25'!L289+'DOE25'!L303+'DOE25'!L308+'DOE25'!L322+'DOE25'!L327,0)</f>
        <v>2672328</v>
      </c>
      <c r="D17" s="182">
        <f t="shared" si="0"/>
        <v>3.7</v>
      </c>
    </row>
    <row r="18" spans="1:4" x14ac:dyDescent="0.2">
      <c r="A18">
        <v>2400</v>
      </c>
      <c r="B18" t="s">
        <v>711</v>
      </c>
      <c r="C18" s="179">
        <f>ROUND('DOE25'!L206+'DOE25'!L224+'DOE25'!L242+'DOE25'!L285+'DOE25'!L304+'DOE25'!L323,0)</f>
        <v>3585254</v>
      </c>
      <c r="D18" s="182">
        <f t="shared" si="0"/>
        <v>4.9000000000000004</v>
      </c>
    </row>
    <row r="19" spans="1:4" x14ac:dyDescent="0.2">
      <c r="A19">
        <v>2500</v>
      </c>
      <c r="B19" t="s">
        <v>708</v>
      </c>
      <c r="C19" s="179">
        <f>ROUND('DOE25'!L207+'DOE25'!L225+'DOE25'!L243+'DOE25'!L286+'DOE25'!L305+'DOE25'!L324,0)</f>
        <v>697986</v>
      </c>
      <c r="D19" s="182">
        <f t="shared" si="0"/>
        <v>1</v>
      </c>
    </row>
    <row r="20" spans="1:4" x14ac:dyDescent="0.2">
      <c r="A20">
        <v>2600</v>
      </c>
      <c r="B20" t="s">
        <v>709</v>
      </c>
      <c r="C20" s="179">
        <f>ROUND('DOE25'!L208+'DOE25'!L226+'DOE25'!L244+'DOE25'!L287+'DOE25'!L306+'DOE25'!L325,0)</f>
        <v>5024035</v>
      </c>
      <c r="D20" s="182">
        <f t="shared" si="0"/>
        <v>6.9</v>
      </c>
    </row>
    <row r="21" spans="1:4" x14ac:dyDescent="0.2">
      <c r="A21">
        <v>2700</v>
      </c>
      <c r="B21" t="s">
        <v>710</v>
      </c>
      <c r="C21" s="179">
        <f>ROUND('DOE25'!L209+'DOE25'!L227+'DOE25'!L245+'DOE25'!L288+'DOE25'!L307+'DOE25'!L326,0)</f>
        <v>3381296</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98746</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809487</v>
      </c>
      <c r="D27" s="182">
        <f t="shared" si="0"/>
        <v>1.1000000000000001</v>
      </c>
    </row>
    <row r="28" spans="1:4" x14ac:dyDescent="0.2">
      <c r="B28" s="187" t="s">
        <v>719</v>
      </c>
      <c r="C28" s="180">
        <f>SUM(C10:C27)</f>
        <v>72810835</v>
      </c>
      <c r="D28" s="184">
        <f>ROUND(SUM(D10:D27),0)</f>
        <v>100</v>
      </c>
    </row>
    <row r="29" spans="1:4" x14ac:dyDescent="0.2">
      <c r="A29">
        <v>4000</v>
      </c>
      <c r="B29" t="s">
        <v>724</v>
      </c>
      <c r="C29" s="179">
        <f>ROUND('DOE25'!L256+'DOE25'!L337+'DOE25'!L375+'DOE25'!L376+'DOE25'!L377+'DOE25'!L378+'DOE25'!L379+'DOE25'!L380+'DOE25'!L381,0)</f>
        <v>344571</v>
      </c>
    </row>
    <row r="30" spans="1:4" x14ac:dyDescent="0.2">
      <c r="B30" s="187" t="s">
        <v>725</v>
      </c>
      <c r="C30" s="180">
        <f>SUM(C28:C29)</f>
        <v>73155406</v>
      </c>
    </row>
    <row r="31" spans="1:4" x14ac:dyDescent="0.2">
      <c r="B31" s="33"/>
      <c r="C31" s="180"/>
    </row>
    <row r="32" spans="1:4" x14ac:dyDescent="0.2">
      <c r="A32">
        <v>5100</v>
      </c>
      <c r="B32" s="33" t="s">
        <v>726</v>
      </c>
      <c r="C32" s="180">
        <f>ROUND('DOE25'!L261+'DOE25'!L342,0)</f>
        <v>1070000</v>
      </c>
    </row>
    <row r="34" spans="1:4" x14ac:dyDescent="0.2">
      <c r="A34" s="187" t="s">
        <v>94</v>
      </c>
      <c r="B34" s="188" t="s">
        <v>1667</v>
      </c>
      <c r="C34" s="181" t="s">
        <v>720</v>
      </c>
      <c r="D34" s="181" t="s">
        <v>721</v>
      </c>
    </row>
    <row r="35" spans="1:4" x14ac:dyDescent="0.2">
      <c r="A35">
        <v>1100</v>
      </c>
      <c r="B35" s="185" t="s">
        <v>727</v>
      </c>
      <c r="C35" s="179">
        <f>ROUND('DOE25'!F60+'DOE25'!G60+'DOE25'!H60+'DOE25'!I60+'DOE25'!J60,0)</f>
        <v>55645671</v>
      </c>
      <c r="D35" s="182">
        <f t="shared" ref="D35:D40" si="1">ROUND((C35/$C$41)*100,1)</f>
        <v>71.3</v>
      </c>
    </row>
    <row r="36" spans="1:4" x14ac:dyDescent="0.2">
      <c r="B36" s="185" t="s">
        <v>739</v>
      </c>
      <c r="C36" s="179">
        <f>SUM('DOE25'!F112:J112)-SUM('DOE25'!G97:G110)+('DOE25'!F175+'DOE25'!F176+'DOE25'!I175+'DOE25'!I176)-C35</f>
        <v>708438</v>
      </c>
      <c r="D36" s="182">
        <f t="shared" si="1"/>
        <v>0.9</v>
      </c>
    </row>
    <row r="37" spans="1:4" x14ac:dyDescent="0.2">
      <c r="A37" s="183" t="s">
        <v>835</v>
      </c>
      <c r="B37" s="185" t="s">
        <v>728</v>
      </c>
      <c r="C37" s="179">
        <f>ROUND('DOE25'!F117+'DOE25'!F118,0)</f>
        <v>16274975</v>
      </c>
      <c r="D37" s="182">
        <f t="shared" si="1"/>
        <v>20.8</v>
      </c>
    </row>
    <row r="38" spans="1:4" x14ac:dyDescent="0.2">
      <c r="A38" s="183" t="s">
        <v>734</v>
      </c>
      <c r="B38" s="185" t="s">
        <v>729</v>
      </c>
      <c r="C38" s="179">
        <f>ROUND(SUM('DOE25'!F140:J140)-SUM('DOE25'!F117:F119),0)</f>
        <v>1556156</v>
      </c>
      <c r="D38" s="182">
        <f t="shared" si="1"/>
        <v>2</v>
      </c>
    </row>
    <row r="39" spans="1:4" x14ac:dyDescent="0.2">
      <c r="A39">
        <v>4000</v>
      </c>
      <c r="B39" s="185" t="s">
        <v>730</v>
      </c>
      <c r="C39" s="179">
        <f>ROUND('DOE25'!F170+'DOE25'!G170+'DOE25'!H170+'DOE25'!I170,0)</f>
        <v>3901940</v>
      </c>
      <c r="D39" s="182">
        <f t="shared" si="1"/>
        <v>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78087180</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Merrimack SAU26</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2021-09-07T18:21:57Z</cp:lastPrinted>
  <dcterms:created xsi:type="dcterms:W3CDTF">1997-12-04T19:04:30Z</dcterms:created>
  <dcterms:modified xsi:type="dcterms:W3CDTF">2021-12-14T19:00:55Z</dcterms:modified>
</cp:coreProperties>
</file>