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9480" windowHeight="7755" tabRatio="773" activeTab="5"/>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39" i="14" l="1"/>
  <c r="D27" i="14"/>
  <c r="I508" i="1"/>
  <c r="F499" i="1"/>
  <c r="F29" i="1"/>
  <c r="E7" i="17"/>
  <c r="H31" i="17"/>
  <c r="E43" i="14"/>
  <c r="D43" i="14"/>
  <c r="B28" i="14"/>
  <c r="C28" i="14" a="1"/>
  <c r="C28" i="14"/>
  <c r="E33" i="14"/>
  <c r="D33" i="14"/>
  <c r="E21" i="14"/>
  <c r="D21" i="14"/>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c r="G29" i="13"/>
  <c r="B22" i="12"/>
  <c r="R3" i="15"/>
  <c r="B6" i="14"/>
  <c r="C6" i="14"/>
  <c r="B7" i="14"/>
  <c r="C7" i="14"/>
  <c r="B8" i="14"/>
  <c r="C8" i="14"/>
  <c r="B9" i="14"/>
  <c r="C9" i="14"/>
  <c r="B10" i="14"/>
  <c r="C10" i="14"/>
  <c r="B11" i="14"/>
  <c r="C11" i="14"/>
  <c r="B12" i="14"/>
  <c r="C12" i="14"/>
  <c r="B13" i="14"/>
  <c r="C13" i="14"/>
  <c r="B14" i="14"/>
  <c r="C14" i="14"/>
  <c r="B15" i="14"/>
  <c r="C15" i="14"/>
  <c r="B16" i="14"/>
  <c r="C16" i="14"/>
  <c r="B17" i="14"/>
  <c r="C17" i="14"/>
  <c r="B18" i="14"/>
  <c r="C18" i="14"/>
  <c r="B19" i="14"/>
  <c r="C19" i="14"/>
  <c r="B20" i="14"/>
  <c r="C20" i="14"/>
  <c r="B5" i="14"/>
  <c r="C5" i="14"/>
  <c r="F3" i="15"/>
  <c r="F88" i="2"/>
  <c r="E88" i="2"/>
  <c r="D88" i="2"/>
  <c r="C88" i="2"/>
  <c r="I163" i="1"/>
  <c r="H163" i="1"/>
  <c r="G163" i="1"/>
  <c r="F163" i="1"/>
  <c r="B31" i="16"/>
  <c r="B27" i="16"/>
  <c r="B9" i="16"/>
  <c r="B5" i="16"/>
  <c r="L3" i="15"/>
  <c r="F42" i="14"/>
  <c r="B38" i="14"/>
  <c r="C38" i="14" s="1" a="1"/>
  <c r="C38" i="14" s="1"/>
  <c r="B39" i="14"/>
  <c r="C39" i="14" a="1"/>
  <c r="C39" i="14"/>
  <c r="B40" i="14"/>
  <c r="C40" i="14" a="1"/>
  <c r="C40" i="14"/>
  <c r="B41" i="14"/>
  <c r="C41" i="14" a="1"/>
  <c r="C41" i="14"/>
  <c r="B42" i="14"/>
  <c r="C42" i="14" a="1"/>
  <c r="C42" i="14"/>
  <c r="B37" i="14"/>
  <c r="C37" i="14"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a="1"/>
  <c r="C27" i="14"/>
  <c r="B29" i="14"/>
  <c r="C29" i="14" a="1"/>
  <c r="C29" i="14"/>
  <c r="B30" i="14"/>
  <c r="C30" i="14" a="1"/>
  <c r="C30" i="14"/>
  <c r="B31" i="14"/>
  <c r="C31" i="14" a="1"/>
  <c r="C31" i="14"/>
  <c r="B32" i="14"/>
  <c r="C32" i="14" a="1"/>
  <c r="C32" i="14"/>
  <c r="B25" i="14"/>
  <c r="C25" i="14" s="1" a="1"/>
  <c r="C25" i="14" s="1"/>
  <c r="F5" i="14"/>
  <c r="F36" i="14"/>
  <c r="F24" i="14"/>
  <c r="F4" i="14"/>
  <c r="B2" i="14"/>
  <c r="A2" i="14"/>
  <c r="F33" i="13"/>
  <c r="C45" i="2"/>
  <c r="G51" i="1"/>
  <c r="F51" i="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C120" i="2"/>
  <c r="D39" i="13"/>
  <c r="G13" i="13"/>
  <c r="H13" i="13"/>
  <c r="L207" i="1"/>
  <c r="L225" i="1"/>
  <c r="L243" i="1"/>
  <c r="E13" i="13"/>
  <c r="C13" i="13"/>
  <c r="G16" i="13"/>
  <c r="H16" i="13"/>
  <c r="L210" i="1"/>
  <c r="L228" i="1"/>
  <c r="L246" i="1"/>
  <c r="G5" i="13"/>
  <c r="H5" i="13"/>
  <c r="L198" i="1"/>
  <c r="L199" i="1"/>
  <c r="L200" i="1"/>
  <c r="L201" i="1"/>
  <c r="L219" i="1"/>
  <c r="L237" i="1"/>
  <c r="L280" i="1"/>
  <c r="L299" i="1"/>
  <c r="L318" i="1"/>
  <c r="C13" i="10"/>
  <c r="L216" i="1"/>
  <c r="L217" i="1"/>
  <c r="L218" i="1"/>
  <c r="L234" i="1"/>
  <c r="L235" i="1"/>
  <c r="L236" i="1"/>
  <c r="G6" i="13"/>
  <c r="H6" i="13"/>
  <c r="L203" i="1"/>
  <c r="L221" i="1"/>
  <c r="L239" i="1"/>
  <c r="D6" i="13"/>
  <c r="C6" i="13"/>
  <c r="G7" i="13"/>
  <c r="H7" i="13"/>
  <c r="L204" i="1"/>
  <c r="L222" i="1"/>
  <c r="L240" i="1"/>
  <c r="G12" i="13"/>
  <c r="H12" i="13"/>
  <c r="L206" i="1"/>
  <c r="L224" i="1"/>
  <c r="L242" i="1"/>
  <c r="C121" i="2"/>
  <c r="G14" i="13"/>
  <c r="H14" i="13"/>
  <c r="L208" i="1"/>
  <c r="L226" i="1"/>
  <c r="L244" i="1"/>
  <c r="G15" i="13"/>
  <c r="H15" i="13"/>
  <c r="L209" i="1"/>
  <c r="L227" i="1"/>
  <c r="L245" i="1"/>
  <c r="D15" i="13"/>
  <c r="C15" i="13"/>
  <c r="G17" i="13"/>
  <c r="H17" i="13"/>
  <c r="L252" i="1"/>
  <c r="G18" i="13"/>
  <c r="H18" i="13"/>
  <c r="L253" i="1"/>
  <c r="D18" i="13"/>
  <c r="C18" i="13"/>
  <c r="G19" i="13"/>
  <c r="H19" i="13"/>
  <c r="L254" i="1"/>
  <c r="H29" i="13"/>
  <c r="L359" i="1"/>
  <c r="L360" i="1"/>
  <c r="L361" i="1"/>
  <c r="I368" i="1"/>
  <c r="J291" i="1"/>
  <c r="J310" i="1"/>
  <c r="J329" i="1"/>
  <c r="K291" i="1"/>
  <c r="K310" i="1"/>
  <c r="K329" i="1"/>
  <c r="L277" i="1"/>
  <c r="L278" i="1"/>
  <c r="L297" i="1"/>
  <c r="L316" i="1"/>
  <c r="E110" i="2"/>
  <c r="L279" i="1"/>
  <c r="L282" i="1"/>
  <c r="L283" i="1"/>
  <c r="L302" i="1"/>
  <c r="L321" i="1"/>
  <c r="E119" i="2"/>
  <c r="L284" i="1"/>
  <c r="L285" i="1"/>
  <c r="L304" i="1"/>
  <c r="L323" i="1"/>
  <c r="E121" i="2"/>
  <c r="L286" i="1"/>
  <c r="L287" i="1"/>
  <c r="L306" i="1"/>
  <c r="L325" i="1"/>
  <c r="E123" i="2"/>
  <c r="L288" i="1"/>
  <c r="L289" i="1"/>
  <c r="L296" i="1"/>
  <c r="L298" i="1"/>
  <c r="L301" i="1"/>
  <c r="L303" i="1"/>
  <c r="L305" i="1"/>
  <c r="L307" i="1"/>
  <c r="L308" i="1"/>
  <c r="L315" i="1"/>
  <c r="L317" i="1"/>
  <c r="L320" i="1"/>
  <c r="L322" i="1"/>
  <c r="L324" i="1"/>
  <c r="L326" i="1"/>
  <c r="L327" i="1"/>
  <c r="L334" i="1"/>
  <c r="L335" i="1"/>
  <c r="L336" i="1"/>
  <c r="L261" i="1"/>
  <c r="L262" i="1"/>
  <c r="C132" i="2"/>
  <c r="L342" i="1"/>
  <c r="C32" i="10"/>
  <c r="L343" i="1"/>
  <c r="L256" i="1"/>
  <c r="L337" i="1"/>
  <c r="E130" i="2"/>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c r="G59" i="2"/>
  <c r="G61" i="2"/>
  <c r="G62" i="2"/>
  <c r="F2" i="11"/>
  <c r="L614" i="1"/>
  <c r="H664" i="1"/>
  <c r="L613" i="1"/>
  <c r="G664" i="1"/>
  <c r="L612" i="1"/>
  <c r="F664" i="1"/>
  <c r="C40" i="10"/>
  <c r="F60" i="1"/>
  <c r="G60" i="1"/>
  <c r="H60" i="1"/>
  <c r="E56" i="2"/>
  <c r="I60" i="1"/>
  <c r="F79" i="1"/>
  <c r="C57" i="2"/>
  <c r="F94" i="1"/>
  <c r="F111" i="1"/>
  <c r="G111" i="1"/>
  <c r="H79" i="1"/>
  <c r="H94" i="1"/>
  <c r="H111" i="1"/>
  <c r="I111" i="1"/>
  <c r="I112" i="1"/>
  <c r="J111" i="1"/>
  <c r="J112" i="1"/>
  <c r="F121" i="1"/>
  <c r="F136" i="1"/>
  <c r="G121" i="1"/>
  <c r="G136" i="1"/>
  <c r="H121" i="1"/>
  <c r="H136" i="1"/>
  <c r="H140" i="1"/>
  <c r="I121" i="1"/>
  <c r="I136" i="1"/>
  <c r="J121" i="1"/>
  <c r="J136" i="1"/>
  <c r="J140" i="1"/>
  <c r="F147" i="1"/>
  <c r="F170" i="1"/>
  <c r="G147" i="1"/>
  <c r="H147" i="1"/>
  <c r="H170" i="1"/>
  <c r="I147" i="1"/>
  <c r="C12" i="10"/>
  <c r="L251" i="1"/>
  <c r="C113" i="2"/>
  <c r="L333" i="1"/>
  <c r="E113" i="2"/>
  <c r="L255" i="1"/>
  <c r="L269" i="1"/>
  <c r="L270" i="1"/>
  <c r="L350" i="1"/>
  <c r="E142" i="2"/>
  <c r="L351" i="1"/>
  <c r="E143" i="2"/>
  <c r="I666" i="1"/>
  <c r="I671" i="1"/>
  <c r="G663" i="1"/>
  <c r="I670" i="1"/>
  <c r="C42" i="10"/>
  <c r="L375" i="1"/>
  <c r="L376" i="1"/>
  <c r="L377" i="1"/>
  <c r="L378" i="1"/>
  <c r="L379" i="1"/>
  <c r="L380" i="1"/>
  <c r="L381" i="1"/>
  <c r="B2" i="10"/>
  <c r="L345" i="1"/>
  <c r="L346" i="1"/>
  <c r="E135" i="2"/>
  <c r="L347" i="1"/>
  <c r="L348" i="1"/>
  <c r="K352" i="1"/>
  <c r="L522" i="1"/>
  <c r="F550" i="1"/>
  <c r="L523" i="1"/>
  <c r="F551" i="1"/>
  <c r="L524" i="1"/>
  <c r="F552" i="1"/>
  <c r="L527" i="1"/>
  <c r="G550" i="1"/>
  <c r="L528" i="1"/>
  <c r="G551" i="1"/>
  <c r="L529" i="1"/>
  <c r="G552" i="1"/>
  <c r="L532" i="1"/>
  <c r="H550" i="1"/>
  <c r="L533" i="1"/>
  <c r="H551" i="1"/>
  <c r="L534" i="1"/>
  <c r="H552" i="1"/>
  <c r="L537" i="1"/>
  <c r="I550" i="1"/>
  <c r="L538" i="1"/>
  <c r="I551" i="1"/>
  <c r="L539" i="1"/>
  <c r="I552" i="1"/>
  <c r="L542" i="1"/>
  <c r="J550" i="1"/>
  <c r="L543" i="1"/>
  <c r="J551" i="1"/>
  <c r="L544" i="1"/>
  <c r="J552" i="1"/>
  <c r="E132" i="2"/>
  <c r="E131" i="2"/>
  <c r="K271" i="1"/>
  <c r="J271" i="1"/>
  <c r="I271" i="1"/>
  <c r="H271" i="1"/>
  <c r="G271" i="1"/>
  <c r="F271" i="1"/>
  <c r="C131" i="2"/>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D35" i="2"/>
  <c r="D50" i="2"/>
  <c r="E34" i="2"/>
  <c r="F34" i="2"/>
  <c r="C35" i="2"/>
  <c r="E35" i="2"/>
  <c r="F35" i="2"/>
  <c r="I455" i="1"/>
  <c r="J49" i="1"/>
  <c r="G48" i="2"/>
  <c r="I457" i="1"/>
  <c r="J43" i="1"/>
  <c r="I458" i="1"/>
  <c r="J37" i="1"/>
  <c r="G36" i="2"/>
  <c r="I460" i="1"/>
  <c r="J48" i="1"/>
  <c r="G47" i="2"/>
  <c r="C49" i="2"/>
  <c r="D56" i="2"/>
  <c r="F56" i="2"/>
  <c r="C58" i="2"/>
  <c r="E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4" i="2"/>
  <c r="C125" i="2"/>
  <c r="E125" i="2"/>
  <c r="F128" i="2"/>
  <c r="G128" i="2"/>
  <c r="C130" i="2"/>
  <c r="D134" i="2"/>
  <c r="D144" i="2"/>
  <c r="E134" i="2"/>
  <c r="F134" i="2"/>
  <c r="K420" i="1"/>
  <c r="K428" i="1"/>
  <c r="K434" i="1"/>
  <c r="L264" i="1"/>
  <c r="C135" i="2"/>
  <c r="L265" i="1"/>
  <c r="C136" i="2"/>
  <c r="L266" i="1"/>
  <c r="C137" i="2"/>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G619" i="1"/>
  <c r="H19" i="1"/>
  <c r="G620" i="1"/>
  <c r="I19" i="1"/>
  <c r="G621" i="1"/>
  <c r="F32" i="1"/>
  <c r="F52" i="1"/>
  <c r="H618" i="1"/>
  <c r="G32" i="1"/>
  <c r="G52" i="1"/>
  <c r="H619" i="1"/>
  <c r="H32" i="1"/>
  <c r="I32" i="1"/>
  <c r="H51" i="1"/>
  <c r="I51" i="1"/>
  <c r="F178" i="1"/>
  <c r="I178" i="1"/>
  <c r="F184" i="1"/>
  <c r="G184" i="1"/>
  <c r="H184" i="1"/>
  <c r="I184" i="1"/>
  <c r="J184" i="1"/>
  <c r="J193" i="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10" i="1"/>
  <c r="G329" i="1"/>
  <c r="G338" i="1"/>
  <c r="G339" i="1"/>
  <c r="G353" i="1"/>
  <c r="H291" i="1"/>
  <c r="I291" i="1"/>
  <c r="F310" i="1"/>
  <c r="H310" i="1"/>
  <c r="I310" i="1"/>
  <c r="F329" i="1"/>
  <c r="H329" i="1"/>
  <c r="I329" i="1"/>
  <c r="F338" i="1"/>
  <c r="H338" i="1"/>
  <c r="I338" i="1"/>
  <c r="J338" i="1"/>
  <c r="K338" i="1"/>
  <c r="F363" i="1"/>
  <c r="G363" i="1"/>
  <c r="H363" i="1"/>
  <c r="I363" i="1"/>
  <c r="G635" i="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H447" i="1"/>
  <c r="G642" i="1"/>
  <c r="F453" i="1"/>
  <c r="G453" i="1"/>
  <c r="H453" i="1"/>
  <c r="F461" i="1"/>
  <c r="G461" i="1"/>
  <c r="H461" i="1"/>
  <c r="F471" i="1"/>
  <c r="G471" i="1"/>
  <c r="H471" i="1"/>
  <c r="I471" i="1"/>
  <c r="J471" i="1"/>
  <c r="F475" i="1"/>
  <c r="G475" i="1"/>
  <c r="G477" i="1"/>
  <c r="H475" i="1"/>
  <c r="H477" i="1"/>
  <c r="H62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1" i="1"/>
  <c r="J572" i="1"/>
  <c r="K566" i="1"/>
  <c r="L568" i="1"/>
  <c r="L569" i="1"/>
  <c r="L570" i="1"/>
  <c r="F571" i="1"/>
  <c r="G571" i="1"/>
  <c r="H571" i="1"/>
  <c r="I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J652" i="1"/>
  <c r="G653" i="1"/>
  <c r="H653" i="1"/>
  <c r="G654" i="1"/>
  <c r="H654" i="1"/>
  <c r="G655" i="1"/>
  <c r="H655" i="1"/>
  <c r="H656" i="1"/>
  <c r="J656" i="1"/>
  <c r="I170" i="1"/>
  <c r="G553" i="1"/>
  <c r="H409" i="1"/>
  <c r="H645" i="1"/>
  <c r="G409" i="1"/>
  <c r="H646" i="1"/>
  <c r="G662" i="1"/>
  <c r="H663" i="1"/>
  <c r="J258" i="1"/>
  <c r="J272" i="1"/>
  <c r="A40" i="12"/>
  <c r="K339" i="1"/>
  <c r="K353" i="1"/>
  <c r="F258" i="1"/>
  <c r="F272" i="1"/>
  <c r="C20" i="10"/>
  <c r="I370" i="1"/>
  <c r="H635" i="1"/>
  <c r="J635" i="1"/>
  <c r="L257" i="1"/>
  <c r="H193" i="1"/>
  <c r="H112" i="1"/>
  <c r="H194" i="1"/>
  <c r="G630" i="1"/>
  <c r="J630" i="1"/>
  <c r="C11" i="10"/>
  <c r="A31" i="12"/>
  <c r="E114" i="2"/>
  <c r="E85" i="2"/>
  <c r="E91" i="2"/>
  <c r="L402" i="1"/>
  <c r="C139" i="2"/>
  <c r="C91" i="2"/>
  <c r="H462" i="1"/>
  <c r="H642" i="1"/>
  <c r="J642" i="1"/>
  <c r="F339" i="1"/>
  <c r="F353" i="1"/>
  <c r="L561" i="1"/>
  <c r="J625" i="1"/>
  <c r="G462" i="1"/>
  <c r="H641" i="1"/>
  <c r="J641" i="1"/>
  <c r="E103" i="2"/>
  <c r="D18" i="2"/>
  <c r="H553" i="1"/>
  <c r="L310" i="1"/>
  <c r="I546" i="1"/>
  <c r="F462" i="1"/>
  <c r="H640" i="1"/>
  <c r="J640" i="1"/>
  <c r="K606" i="1"/>
  <c r="G649" i="1"/>
  <c r="H258" i="1"/>
  <c r="H272" i="1"/>
  <c r="I52" i="1"/>
  <c r="H621" i="1"/>
  <c r="J621" i="1"/>
  <c r="D31" i="2"/>
  <c r="D51" i="2"/>
  <c r="E31" i="2"/>
  <c r="C18" i="2"/>
  <c r="F18" i="2"/>
  <c r="L271" i="1"/>
  <c r="F662" i="1"/>
  <c r="F572" i="1"/>
  <c r="L420" i="1"/>
  <c r="D91" i="2"/>
  <c r="D81" i="2"/>
  <c r="E78" i="2"/>
  <c r="E81" i="2"/>
  <c r="G546" i="1"/>
  <c r="J644" i="1"/>
  <c r="J646" i="1"/>
  <c r="F112" i="1"/>
  <c r="L394" i="1"/>
  <c r="C138" i="2"/>
  <c r="L363" i="1"/>
  <c r="B17" i="16"/>
  <c r="B19" i="16"/>
  <c r="B28" i="16"/>
  <c r="L329" i="1"/>
  <c r="E122" i="2"/>
  <c r="L291" i="1"/>
  <c r="H624" i="1"/>
  <c r="J624" i="1"/>
  <c r="B33" i="16"/>
  <c r="L615" i="1"/>
  <c r="K599" i="1"/>
  <c r="G648" i="1"/>
  <c r="K572" i="1"/>
  <c r="L571" i="1"/>
  <c r="H572" i="1"/>
  <c r="L566" i="1"/>
  <c r="L572" i="1"/>
  <c r="I572" i="1"/>
  <c r="K546" i="1"/>
  <c r="H52" i="1"/>
  <c r="H620" i="1"/>
  <c r="C114" i="2"/>
  <c r="G112" i="1"/>
  <c r="B10" i="16"/>
  <c r="E118" i="2"/>
  <c r="E128" i="2"/>
  <c r="L248" i="1"/>
  <c r="L212" i="1"/>
  <c r="H648" i="1"/>
  <c r="J645" i="1"/>
  <c r="G626" i="1"/>
  <c r="L530" i="1"/>
  <c r="H546" i="1"/>
  <c r="G164" i="2"/>
  <c r="G161" i="2"/>
  <c r="G157" i="2"/>
  <c r="G156" i="2"/>
  <c r="G81" i="2"/>
  <c r="C78" i="2"/>
  <c r="C70" i="2"/>
  <c r="C81" i="2"/>
  <c r="F78" i="2"/>
  <c r="F81" i="2"/>
  <c r="D62" i="2"/>
  <c r="D63" i="2"/>
  <c r="E57" i="2"/>
  <c r="E62" i="2"/>
  <c r="E63" i="2"/>
  <c r="C26" i="10"/>
  <c r="C18" i="10"/>
  <c r="J546" i="1"/>
  <c r="I477" i="1"/>
  <c r="H626" i="1"/>
  <c r="J477" i="1"/>
  <c r="H627" i="1"/>
  <c r="F477" i="1"/>
  <c r="H623" i="1"/>
  <c r="J623" i="1"/>
  <c r="L434" i="1"/>
  <c r="L428" i="1"/>
  <c r="I258" i="1"/>
  <c r="I272" i="1"/>
  <c r="K258" i="1"/>
  <c r="K272" i="1"/>
  <c r="G193" i="1"/>
  <c r="B13" i="16"/>
  <c r="F193" i="1"/>
  <c r="J553" i="1"/>
  <c r="I553" i="1"/>
  <c r="K550" i="1"/>
  <c r="F553" i="1"/>
  <c r="L352" i="1"/>
  <c r="F130" i="2"/>
  <c r="F144" i="2"/>
  <c r="F145" i="2"/>
  <c r="G170" i="1"/>
  <c r="B12" i="16"/>
  <c r="J618" i="1"/>
  <c r="K552" i="1"/>
  <c r="I25" i="13"/>
  <c r="K551" i="1"/>
  <c r="L535" i="1"/>
  <c r="K501" i="1"/>
  <c r="I461" i="1"/>
  <c r="I453" i="1"/>
  <c r="I447" i="1"/>
  <c r="G643" i="1"/>
  <c r="H339" i="1"/>
  <c r="H353" i="1"/>
  <c r="C123" i="2"/>
  <c r="E109" i="2"/>
  <c r="E115" i="2"/>
  <c r="C56" i="2"/>
  <c r="F663" i="1"/>
  <c r="I663" i="1"/>
  <c r="C25" i="10"/>
  <c r="C21" i="10"/>
  <c r="C17" i="10"/>
  <c r="D19" i="13"/>
  <c r="C19" i="13"/>
  <c r="D14" i="13"/>
  <c r="C14" i="13"/>
  <c r="C62" i="2"/>
  <c r="G22" i="13"/>
  <c r="C22" i="13"/>
  <c r="L540" i="1"/>
  <c r="K504" i="1"/>
  <c r="L383" i="1"/>
  <c r="G637" i="1"/>
  <c r="J637" i="1"/>
  <c r="G258" i="1"/>
  <c r="G272" i="1"/>
  <c r="C142" i="2"/>
  <c r="C111" i="2"/>
  <c r="H662" i="1"/>
  <c r="C15" i="10"/>
  <c r="A13" i="12"/>
  <c r="D29" i="13"/>
  <c r="C29" i="13"/>
  <c r="D12" i="13"/>
  <c r="C12" i="13"/>
  <c r="D5" i="13"/>
  <c r="C5" i="13"/>
  <c r="E8" i="13"/>
  <c r="C8" i="13"/>
  <c r="C35" i="10"/>
  <c r="C29" i="10"/>
  <c r="G650" i="1"/>
  <c r="J650" i="1"/>
  <c r="L545" i="1"/>
  <c r="L525" i="1"/>
  <c r="J339" i="1"/>
  <c r="J353" i="1"/>
  <c r="D127" i="2"/>
  <c r="D128" i="2"/>
  <c r="D145" i="2"/>
  <c r="C124" i="2"/>
  <c r="C122" i="2"/>
  <c r="C118" i="2"/>
  <c r="C19" i="10"/>
  <c r="C16" i="10"/>
  <c r="D17" i="13"/>
  <c r="C17" i="13"/>
  <c r="D7" i="13"/>
  <c r="C7" i="13"/>
  <c r="E16" i="13"/>
  <c r="C16" i="13"/>
  <c r="C10" i="10"/>
  <c r="C109" i="2"/>
  <c r="L230" i="1"/>
  <c r="G24" i="14"/>
  <c r="H24" i="14"/>
  <c r="I24" i="14"/>
  <c r="L338" i="1"/>
  <c r="F62" i="2"/>
  <c r="F63" i="2"/>
  <c r="C23" i="10"/>
  <c r="G163" i="2"/>
  <c r="G162" i="2"/>
  <c r="G160" i="2"/>
  <c r="G159" i="2"/>
  <c r="G158" i="2"/>
  <c r="G103" i="2"/>
  <c r="F103" i="2"/>
  <c r="C103" i="2"/>
  <c r="F91" i="2"/>
  <c r="E50" i="2"/>
  <c r="C50" i="2"/>
  <c r="F31" i="2"/>
  <c r="C31" i="2"/>
  <c r="E18" i="2"/>
  <c r="E144" i="2"/>
  <c r="F50" i="2"/>
  <c r="C24" i="10"/>
  <c r="H31" i="13"/>
  <c r="H33" i="13"/>
  <c r="I339" i="1"/>
  <c r="I353" i="1"/>
  <c r="J651" i="1"/>
  <c r="L408" i="1"/>
  <c r="C140" i="2"/>
  <c r="I193" i="1"/>
  <c r="J655" i="1"/>
  <c r="J654" i="1"/>
  <c r="G21" i="2"/>
  <c r="G31" i="2"/>
  <c r="J32" i="1"/>
  <c r="J435" i="1"/>
  <c r="F435" i="1"/>
  <c r="K435" i="1"/>
  <c r="G134" i="2"/>
  <c r="G144" i="2"/>
  <c r="G145" i="2"/>
  <c r="G31" i="13"/>
  <c r="J194" i="1"/>
  <c r="G647" i="1"/>
  <c r="G140" i="1"/>
  <c r="B11" i="16"/>
  <c r="F140" i="1"/>
  <c r="G63" i="2"/>
  <c r="J619" i="1"/>
  <c r="G42" i="2"/>
  <c r="G50" i="2"/>
  <c r="J51" i="1"/>
  <c r="G16" i="2"/>
  <c r="G18" i="2"/>
  <c r="J19" i="1"/>
  <c r="G622" i="1"/>
  <c r="F546" i="1"/>
  <c r="H435" i="1"/>
  <c r="J620" i="1"/>
  <c r="D103" i="2"/>
  <c r="I140" i="1"/>
  <c r="A22" i="12"/>
  <c r="H649" i="1"/>
  <c r="J653" i="1"/>
  <c r="G572" i="1"/>
  <c r="I435" i="1"/>
  <c r="G435" i="1"/>
  <c r="I664" i="1"/>
  <c r="E51" i="2"/>
  <c r="C141" i="2"/>
  <c r="H661" i="1"/>
  <c r="H665" i="1"/>
  <c r="H668" i="1"/>
  <c r="F661" i="1"/>
  <c r="F665" i="1"/>
  <c r="F668" i="1"/>
  <c r="F194" i="1"/>
  <c r="G628" i="1"/>
  <c r="J628" i="1"/>
  <c r="F51" i="2"/>
  <c r="G36" i="14"/>
  <c r="H36" i="14"/>
  <c r="I36" i="14"/>
  <c r="E145" i="2"/>
  <c r="E104" i="2"/>
  <c r="C36" i="10"/>
  <c r="L435" i="1"/>
  <c r="G639" i="1"/>
  <c r="J639" i="1"/>
  <c r="I662" i="1"/>
  <c r="G104" i="2"/>
  <c r="L339" i="1"/>
  <c r="L353" i="1"/>
  <c r="G634" i="1"/>
  <c r="J634" i="1"/>
  <c r="J649" i="1"/>
  <c r="I194" i="1"/>
  <c r="G631" i="1"/>
  <c r="J631" i="1"/>
  <c r="G636" i="1"/>
  <c r="J636" i="1"/>
  <c r="G51" i="2"/>
  <c r="D104" i="2"/>
  <c r="L409" i="1"/>
  <c r="C27" i="10"/>
  <c r="G4" i="14"/>
  <c r="H4" i="14"/>
  <c r="I4" i="14"/>
  <c r="L546" i="1"/>
  <c r="J626" i="1"/>
  <c r="F104" i="2"/>
  <c r="B14" i="16"/>
  <c r="B22" i="16"/>
  <c r="E33" i="13"/>
  <c r="D35" i="13"/>
  <c r="J648" i="1"/>
  <c r="L258" i="1"/>
  <c r="L272" i="1"/>
  <c r="G633" i="1"/>
  <c r="J633" i="1"/>
  <c r="C115" i="2"/>
  <c r="C63" i="2"/>
  <c r="C104" i="2"/>
  <c r="C39" i="10"/>
  <c r="G33" i="13"/>
  <c r="C144" i="2"/>
  <c r="C128" i="2"/>
  <c r="D31" i="13"/>
  <c r="C31" i="13"/>
  <c r="I462" i="1"/>
  <c r="H643" i="1"/>
  <c r="J643" i="1"/>
  <c r="G661" i="1"/>
  <c r="G665" i="1"/>
  <c r="G673" i="1"/>
  <c r="C5" i="10"/>
  <c r="C25" i="13"/>
  <c r="I33" i="13"/>
  <c r="K553" i="1"/>
  <c r="C28" i="10"/>
  <c r="D23" i="10"/>
  <c r="C51" i="2"/>
  <c r="G632" i="1"/>
  <c r="J632" i="1"/>
  <c r="G194" i="1"/>
  <c r="G629" i="1"/>
  <c r="J629" i="1"/>
  <c r="G627" i="1"/>
  <c r="J627" i="1"/>
  <c r="J52" i="1"/>
  <c r="H622" i="1"/>
  <c r="J622" i="1"/>
  <c r="C38" i="10"/>
  <c r="H673" i="1"/>
  <c r="C6" i="10"/>
  <c r="F673" i="1"/>
  <c r="C4" i="10"/>
  <c r="I661" i="1"/>
  <c r="I665" i="1"/>
  <c r="I673" i="1"/>
  <c r="C7" i="10"/>
  <c r="G668" i="1"/>
  <c r="C145" i="2"/>
  <c r="D25" i="10"/>
  <c r="G638" i="1"/>
  <c r="J638" i="1"/>
  <c r="H647" i="1"/>
  <c r="J647" i="1"/>
  <c r="D22" i="10"/>
  <c r="D18" i="10"/>
  <c r="D27" i="10"/>
  <c r="D15" i="10"/>
  <c r="D21" i="10"/>
  <c r="D24" i="10"/>
  <c r="D20" i="10"/>
  <c r="D11" i="10"/>
  <c r="D12" i="10"/>
  <c r="D13" i="10"/>
  <c r="D17" i="10"/>
  <c r="D19" i="10"/>
  <c r="D10" i="10"/>
  <c r="D26" i="10"/>
  <c r="C30" i="10"/>
  <c r="D16" i="10"/>
  <c r="D33" i="13"/>
  <c r="D36" i="13"/>
  <c r="C41" i="10"/>
  <c r="D38" i="10"/>
  <c r="H657" i="1"/>
  <c r="I668" i="1"/>
  <c r="D28" i="10"/>
  <c r="D37" i="10"/>
  <c r="D36" i="10"/>
  <c r="D35" i="10"/>
  <c r="D40" i="10"/>
  <c r="D39" i="10"/>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<sst xmlns="http://schemas.openxmlformats.org/spreadsheetml/2006/main" count="5590" uniqueCount="1683">
  <si>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</si>
  <si>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</si>
  <si>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</si>
  <si>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</si>
  <si>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</si>
  <si>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</si>
  <si>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</si>
  <si>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</si>
  <si>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</si>
  <si>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</si>
  <si>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</si>
  <si>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</si>
  <si>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</si>
  <si>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</si>
  <si>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</si>
  <si>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</si>
  <si>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</si>
  <si>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</si>
  <si>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</si>
  <si>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</si>
  <si>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</si>
  <si>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</si>
  <si>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</si>
  <si>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</si>
  <si>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</si>
  <si>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</si>
  <si>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</si>
  <si>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</si>
  <si>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</si>
  <si>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</si>
  <si>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</si>
  <si>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</si>
  <si>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</si>
  <si>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</si>
  <si>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</si>
  <si>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</si>
  <si>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</si>
  <si>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</si>
  <si>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</si>
  <si>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</si>
  <si>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</si>
  <si>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</si>
  <si>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</si>
  <si>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</si>
  <si>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</si>
  <si>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</si>
  <si>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</si>
  <si>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</si>
  <si>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</si>
  <si>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</si>
  <si>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</si>
  <si>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</si>
  <si>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</si>
  <si>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</si>
  <si>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</si>
  <si>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</si>
  <si>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</si>
  <si>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</si>
  <si>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</si>
  <si>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</si>
  <si>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</si>
  <si>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</si>
  <si>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</si>
  <si>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</si>
  <si>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</si>
  <si>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</si>
  <si>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</si>
  <si>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</si>
  <si>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</si>
  <si>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</si>
  <si>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</si>
  <si>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</si>
  <si>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</si>
  <si>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</si>
  <si>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</si>
  <si>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</si>
  <si>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</si>
  <si>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</si>
  <si>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</si>
  <si>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</si>
  <si>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</si>
  <si>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</si>
  <si>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</si>
  <si>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</si>
  <si>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</si>
  <si>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</si>
  <si>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</si>
  <si>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</si>
  <si>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</si>
  <si>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</si>
  <si>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</si>
  <si>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</si>
  <si>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</si>
  <si>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</si>
  <si>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</si>
  <si>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</si>
  <si>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</si>
  <si>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</si>
  <si>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</si>
  <si>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</si>
  <si>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</si>
  <si>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</si>
  <si>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</si>
  <si>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</si>
  <si>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</si>
  <si>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</si>
  <si>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</si>
  <si>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</si>
  <si>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</si>
  <si>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</si>
  <si>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</si>
  <si>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</si>
  <si>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</si>
  <si>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</si>
  <si>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</si>
  <si>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</si>
  <si>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</si>
  <si>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</si>
  <si>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</si>
  <si>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</si>
  <si>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</si>
  <si>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</si>
  <si>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</si>
  <si>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</si>
  <si>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</si>
  <si>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</si>
  <si>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</si>
  <si>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</si>
  <si>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</si>
  <si>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</si>
  <si>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</si>
  <si>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</si>
  <si>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</si>
  <si>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</si>
  <si>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</si>
  <si>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</si>
  <si>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</si>
  <si>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</si>
  <si>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</si>
  <si>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</si>
  <si>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</si>
  <si>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</si>
  <si>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</si>
  <si>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</si>
  <si>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</si>
  <si>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</si>
  <si>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</si>
  <si>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</si>
  <si>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</si>
  <si>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</si>
  <si>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</si>
  <si>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</si>
  <si>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</si>
  <si>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</si>
  <si>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</si>
  <si>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</si>
  <si>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</si>
  <si>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</si>
  <si>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</si>
  <si>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</si>
  <si>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</si>
  <si>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</si>
  <si>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</si>
  <si>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</si>
  <si>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</si>
  <si>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</si>
  <si>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</si>
  <si>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</si>
  <si>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</si>
  <si>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</si>
  <si>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</si>
  <si>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</si>
  <si>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</si>
  <si>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</si>
  <si>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</si>
  <si>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</si>
  <si>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</si>
  <si>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</si>
  <si>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</si>
  <si>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</si>
  <si>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</si>
  <si>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</si>
  <si>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</si>
  <si>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</si>
  <si>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</si>
  <si>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</si>
  <si>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</si>
  <si>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</si>
  <si>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</si>
  <si>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</si>
  <si>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</si>
  <si>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</si>
  <si>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</si>
  <si>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</si>
  <si>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</si>
  <si>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</si>
  <si>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</si>
  <si>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</si>
  <si>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</si>
  <si>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</si>
  <si>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</si>
  <si>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</si>
  <si>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</si>
  <si>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</si>
  <si>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</si>
  <si>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</si>
  <si>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</si>
  <si>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</si>
  <si>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</si>
  <si>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</si>
  <si>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</si>
  <si>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</si>
  <si>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</si>
  <si>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</si>
  <si>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</si>
  <si>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</si>
  <si>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</si>
  <si>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</si>
  <si>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</si>
  <si>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</si>
  <si>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</si>
  <si>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</si>
  <si>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</si>
  <si>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</si>
  <si>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</si>
  <si>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</si>
  <si>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</si>
  <si>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</si>
  <si>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</si>
  <si>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</si>
  <si>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</si>
  <si>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</si>
  <si>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</si>
  <si>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</si>
  <si>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</si>
  <si>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</si>
  <si>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</si>
  <si>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</si>
  <si>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</si>
  <si>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</si>
  <si>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</si>
  <si>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</si>
  <si>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</si>
  <si>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</si>
  <si>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</si>
  <si>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</si>
  <si>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</si>
  <si>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</si>
  <si>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</si>
  <si>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</si>
  <si>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</si>
  <si>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</si>
  <si>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</si>
  <si>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</si>
  <si>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</si>
  <si>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</si>
  <si>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</si>
  <si>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</si>
  <si>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</si>
  <si>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</si>
  <si>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</si>
  <si>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</si>
  <si>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</si>
  <si>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</si>
  <si>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</si>
  <si>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</si>
  <si>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</si>
  <si>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</si>
  <si>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</si>
  <si>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</si>
  <si>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</si>
  <si>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</si>
  <si>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</si>
  <si>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</si>
  <si>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</si>
  <si>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</si>
  <si>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</si>
  <si>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</si>
  <si>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</si>
  <si>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</si>
  <si>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</si>
  <si>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</si>
  <si>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</si>
  <si>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</si>
  <si>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</si>
  <si>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</si>
  <si>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</si>
  <si>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</si>
  <si>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</si>
  <si>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</si>
  <si>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</si>
  <si>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</si>
  <si>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</si>
  <si>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</si>
  <si>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</si>
  <si>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</si>
  <si>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</si>
  <si>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</si>
  <si>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</si>
  <si>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</si>
  <si>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</si>
  <si>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</si>
  <si>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</si>
  <si>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</si>
  <si>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</si>
  <si>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</si>
  <si>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</si>
  <si>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</si>
  <si>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</si>
  <si>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</si>
  <si>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</si>
  <si>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</si>
  <si>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</si>
  <si>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</si>
  <si>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</si>
  <si>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</si>
  <si>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</si>
  <si>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</si>
  <si>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</si>
  <si>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</si>
  <si>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</si>
  <si>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</si>
  <si>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</si>
  <si>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</si>
  <si>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</si>
  <si>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</si>
  <si>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</si>
  <si>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</si>
  <si>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</si>
  <si>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</si>
  <si>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</si>
  <si>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</si>
  <si>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</si>
  <si>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</si>
  <si>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</si>
  <si>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</si>
  <si>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</si>
  <si>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</si>
  <si>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</si>
  <si>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</si>
  <si>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</si>
  <si>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</si>
  <si>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</si>
  <si>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</si>
  <si>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</si>
  <si>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</si>
  <si>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</si>
  <si>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</si>
  <si>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</si>
  <si>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</si>
  <si>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</si>
  <si>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</si>
  <si>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</si>
  <si>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</si>
  <si>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</si>
  <si>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</si>
  <si>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</si>
  <si>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</si>
  <si>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</si>
  <si>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</si>
  <si>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</si>
  <si>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</si>
  <si>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</si>
  <si>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</si>
  <si>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</si>
  <si>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</si>
  <si>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</si>
  <si>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</si>
  <si>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</si>
  <si>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</si>
  <si>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</si>
  <si>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</si>
  <si>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</si>
  <si>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</si>
  <si>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</si>
  <si>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</si>
  <si>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</si>
  <si>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</si>
  <si>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</si>
  <si>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</si>
  <si>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</si>
  <si>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</si>
  <si>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</si>
  <si>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</si>
  <si>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</si>
  <si>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</si>
  <si>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</si>
  <si>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</si>
  <si>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</si>
  <si>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</si>
  <si>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</si>
  <si>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</si>
  <si>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</si>
  <si>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</si>
  <si>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</si>
  <si>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</si>
  <si>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</si>
  <si>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</si>
  <si>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</si>
  <si>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</si>
  <si>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</si>
  <si>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</si>
  <si>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</si>
  <si>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</si>
  <si>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</si>
  <si>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</si>
  <si>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</si>
  <si>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</si>
  <si>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</si>
  <si>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</si>
  <si>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</si>
  <si>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</si>
  <si>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</si>
  <si>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</si>
  <si>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</si>
  <si>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</si>
  <si>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</si>
  <si>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</si>
  <si>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</si>
  <si>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</si>
  <si>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</si>
  <si>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</si>
  <si>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</si>
  <si>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</si>
  <si>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</si>
  <si>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</si>
  <si>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</si>
  <si>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</si>
  <si>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</si>
  <si>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</si>
  <si>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</si>
  <si>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</si>
  <si>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</si>
  <si>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</si>
  <si>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</si>
  <si>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</si>
  <si>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</si>
  <si>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</si>
  <si>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</si>
  <si>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</si>
  <si>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</si>
  <si>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</si>
  <si>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</si>
  <si>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</si>
  <si>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</si>
  <si>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</si>
  <si>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</si>
  <si>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</si>
  <si>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</si>
  <si>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</si>
  <si>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</si>
  <si>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</si>
  <si>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</si>
  <si>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</si>
  <si>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</si>
  <si>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</si>
  <si>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</si>
  <si>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</si>
  <si>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</si>
  <si>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</si>
  <si>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</si>
  <si>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</si>
  <si>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</si>
  <si>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</si>
  <si>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</si>
  <si>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</si>
  <si>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</si>
  <si>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</si>
  <si>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</si>
  <si>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</si>
  <si>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</si>
  <si>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</si>
  <si>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</si>
  <si>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</si>
  <si>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</si>
  <si>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</si>
  <si>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</si>
  <si>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</si>
  <si>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</si>
  <si>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</si>
  <si>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</si>
  <si>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</si>
  <si>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</si>
  <si>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</si>
  <si>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</si>
  <si>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</si>
  <si>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</si>
  <si>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</si>
  <si>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</si>
  <si>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</si>
  <si>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</si>
  <si>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</si>
  <si>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</si>
  <si>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</si>
  <si>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</si>
  <si>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</si>
  <si>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</si>
  <si>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</si>
  <si>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</si>
  <si>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</si>
  <si>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</si>
  <si>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</si>
  <si>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</si>
  <si>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</si>
  <si>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</si>
  <si>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</si>
  <si>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</si>
  <si>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</si>
  <si>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</si>
  <si>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</si>
  <si>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</si>
  <si>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</si>
  <si>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</si>
  <si>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</si>
  <si>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</si>
  <si>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</si>
  <si>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</si>
  <si>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</si>
  <si>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</si>
  <si>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</si>
  <si>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</si>
  <si>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</si>
  <si>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</si>
  <si>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</si>
  <si>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</si>
  <si>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</si>
  <si>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</si>
  <si>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</si>
  <si>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</si>
  <si>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</si>
  <si>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</si>
  <si>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</si>
  <si>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</si>
  <si>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</si>
  <si>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</si>
  <si>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</si>
  <si>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</si>
  <si>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</si>
  <si>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</si>
  <si>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</si>
  <si>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</si>
  <si>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</si>
  <si>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</si>
  <si>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</si>
  <si>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</si>
  <si>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</si>
  <si>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</si>
  <si>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</si>
  <si>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</si>
  <si>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</si>
  <si>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</si>
  <si>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</si>
  <si>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</si>
  <si>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</si>
  <si>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</si>
  <si>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</si>
  <si>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</si>
  <si>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</si>
  <si>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</si>
  <si>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</si>
  <si>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</si>
  <si>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</si>
  <si>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</si>
  <si>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</si>
  <si>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</si>
  <si>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</si>
  <si>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</si>
  <si>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</si>
  <si>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</si>
  <si>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</si>
  <si>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</si>
  <si>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</si>
  <si>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</si>
  <si>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</si>
  <si>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</si>
  <si>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</si>
  <si>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</si>
  <si>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</si>
  <si>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</si>
  <si>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</si>
  <si>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</si>
  <si>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</si>
  <si>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</si>
  <si>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</si>
  <si>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</si>
  <si>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</si>
  <si>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</si>
  <si>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</si>
  <si>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</si>
  <si>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</si>
  <si>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</si>
  <si>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</si>
  <si>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</si>
  <si>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</si>
  <si>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</si>
  <si>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</si>
  <si>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</si>
  <si>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</si>
  <si>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</si>
  <si>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</si>
  <si>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</si>
  <si>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</si>
  <si>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</si>
  <si>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</si>
  <si>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</si>
  <si>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</si>
  <si>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</si>
  <si>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</si>
  <si>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</si>
  <si>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</si>
  <si>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</si>
  <si>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</si>
  <si>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</si>
  <si>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</si>
  <si>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</si>
  <si>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</si>
  <si>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</si>
  <si>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</si>
  <si>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</si>
  <si>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</si>
  <si>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</si>
  <si>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</si>
  <si>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</si>
  <si>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</si>
  <si>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</si>
  <si>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</si>
  <si>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</si>
  <si>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</si>
  <si>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</si>
  <si>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</si>
  <si>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</si>
  <si>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</si>
  <si>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</si>
  <si>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</si>
  <si>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</si>
  <si>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</si>
  <si>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</si>
  <si>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</si>
  <si>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</si>
  <si>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</si>
  <si>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</si>
  <si>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</si>
  <si>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</si>
  <si>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</si>
  <si>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</si>
  <si>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</si>
  <si>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</si>
  <si>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</si>
  <si>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</si>
  <si>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</si>
  <si>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</si>
  <si>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</si>
  <si>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</si>
  <si>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</si>
  <si>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</si>
  <si>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</si>
  <si>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</si>
  <si>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</si>
  <si>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</si>
  <si>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</si>
  <si>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</si>
  <si>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</si>
  <si>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</si>
  <si>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</si>
  <si>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</si>
  <si>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</si>
  <si>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</si>
  <si>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</si>
  <si>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</si>
  <si>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</si>
  <si>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</si>
  <si>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</si>
  <si>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</si>
  <si>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</si>
  <si>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</si>
  <si>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</si>
  <si>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</si>
  <si>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</si>
  <si>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</si>
  <si>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</si>
  <si>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</si>
  <si>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</si>
  <si>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</si>
  <si>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</si>
  <si>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</si>
  <si>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</si>
  <si>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</si>
  <si>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</si>
  <si>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</si>
  <si>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</si>
  <si>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</si>
  <si>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</si>
  <si>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</si>
  <si>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</si>
  <si>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</si>
  <si>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</si>
  <si>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</si>
  <si>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</si>
  <si>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</si>
  <si>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</si>
  <si>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</si>
  <si>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</si>
  <si>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</si>
  <si>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</si>
  <si>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</si>
  <si>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</si>
  <si>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</si>
  <si>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</si>
  <si>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</si>
  <si>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</si>
  <si>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</si>
  <si>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</si>
  <si>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</si>
  <si>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</si>
  <si>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</si>
  <si>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</si>
  <si>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</si>
  <si>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</si>
  <si>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</si>
  <si>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</si>
  <si>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</si>
  <si>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</si>
  <si>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</si>
  <si>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</si>
  <si>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</si>
  <si>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</si>
  <si>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</si>
  <si>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</si>
  <si>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</si>
  <si>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</si>
  <si>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</si>
  <si>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</si>
  <si>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</si>
  <si>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</si>
  <si>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</si>
  <si>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</si>
  <si>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</si>
  <si>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</si>
  <si>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</si>
  <si>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</si>
  <si>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</si>
  <si>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</si>
  <si>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</si>
  <si>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</si>
  <si>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</si>
  <si>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</si>
  <si>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</si>
  <si>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</si>
  <si>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</si>
  <si>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</si>
  <si>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</si>
  <si>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</si>
  <si>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</si>
  <si>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</si>
  <si>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</si>
  <si>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</si>
  <si>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</si>
  <si>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</si>
  <si>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</si>
  <si>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</si>
  <si>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</si>
  <si>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</si>
  <si>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</si>
  <si>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</si>
  <si>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</si>
  <si>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</si>
  <si>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</si>
  <si>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</si>
  <si>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</si>
  <si>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</si>
  <si>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</si>
  <si>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</si>
  <si>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</si>
  <si>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</si>
  <si>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</si>
  <si>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</si>
  <si>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</si>
  <si>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</si>
  <si>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</si>
  <si>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</si>
  <si>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</si>
  <si>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</si>
  <si>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</si>
  <si>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</si>
  <si>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</si>
  <si>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</si>
  <si>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</si>
  <si>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</si>
  <si>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</si>
  <si>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</si>
  <si>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</si>
  <si>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</si>
  <si>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</si>
  <si>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</si>
  <si>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</si>
  <si>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</si>
  <si>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</si>
  <si>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</si>
  <si>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</si>
  <si>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</si>
  <si>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</si>
  <si>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</si>
  <si>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</si>
  <si>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</si>
  <si>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</si>
  <si>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</si>
  <si>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</si>
  <si>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</si>
  <si>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</si>
  <si>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</si>
  <si>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</si>
  <si>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</si>
  <si>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</si>
  <si>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</si>
  <si>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</si>
  <si>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</si>
  <si>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</si>
  <si>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</si>
  <si>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</si>
  <si>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</si>
  <si>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</si>
  <si>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</si>
  <si>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</si>
  <si>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</si>
  <si>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</si>
  <si>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</si>
  <si>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</si>
  <si>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</si>
  <si>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</si>
  <si>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</si>
  <si>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</si>
  <si>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</si>
  <si>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</si>
  <si>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</si>
  <si>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</si>
  <si>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</si>
  <si>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</si>
  <si>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</si>
  <si>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</si>
  <si>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</si>
  <si>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</si>
  <si>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</si>
  <si>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</si>
  <si>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</si>
  <si>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</si>
  <si>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</si>
  <si>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</si>
  <si>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</si>
  <si>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</si>
  <si>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</si>
  <si>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</si>
  <si>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</si>
  <si>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</si>
  <si>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</si>
  <si>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</si>
  <si>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</si>
  <si>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</si>
  <si>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</si>
  <si>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</si>
  <si>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</si>
  <si>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</si>
  <si>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</si>
  <si>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</si>
  <si>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</si>
  <si>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</si>
  <si>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</si>
  <si>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</si>
  <si>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</si>
  <si>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</si>
  <si>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</si>
  <si>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</si>
  <si>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</si>
  <si>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</si>
  <si>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</si>
  <si>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</si>
  <si>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</si>
  <si>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</si>
  <si>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</si>
  <si>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</si>
  <si>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</si>
  <si>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</si>
  <si>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</si>
  <si>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</si>
  <si>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</si>
  <si>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</si>
  <si>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</si>
  <si>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</si>
  <si>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</si>
  <si>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</si>
  <si>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</si>
  <si>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</si>
  <si>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</si>
  <si>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</si>
  <si>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</si>
  <si>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</si>
  <si>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</si>
  <si>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</si>
  <si>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</si>
  <si>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</si>
  <si>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</si>
  <si>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</si>
  <si>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</si>
  <si>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</si>
  <si>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</si>
  <si>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</si>
  <si>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</si>
  <si>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</si>
  <si>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</si>
  <si>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</si>
  <si>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</si>
  <si>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</si>
  <si>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</si>
  <si>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</si>
  <si>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</si>
  <si>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</si>
  <si>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</si>
  <si>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</si>
  <si>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</si>
  <si>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</si>
  <si>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</si>
  <si>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</si>
  <si>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</si>
  <si>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</si>
  <si>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</si>
  <si>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</si>
  <si>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</si>
  <si>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</si>
  <si>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</si>
  <si>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</si>
  <si>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</si>
  <si>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</si>
  <si>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</si>
  <si>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</si>
  <si>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</si>
  <si>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</si>
  <si>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</si>
  <si>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</si>
  <si>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</si>
  <si>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</si>
  <si>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</si>
  <si>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</si>
  <si>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</si>
  <si>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</si>
  <si>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</si>
  <si>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</si>
  <si>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</si>
  <si>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</si>
  <si>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</si>
  <si>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</si>
  <si>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</si>
  <si>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</si>
  <si>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</si>
  <si>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</si>
  <si>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</si>
  <si>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</si>
  <si>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</si>
  <si>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</si>
  <si>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</si>
  <si>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</si>
  <si>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</si>
  <si>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</si>
  <si>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</si>
  <si>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</si>
  <si>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</si>
  <si>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</si>
  <si>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</si>
  <si>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</si>
  <si>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</si>
  <si>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</si>
  <si>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</si>
  <si>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</si>
  <si>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</si>
  <si>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</si>
  <si>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</si>
  <si>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</si>
  <si>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</si>
  <si>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</si>
  <si>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</si>
  <si>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</si>
  <si>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</si>
  <si>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</si>
  <si>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</si>
  <si>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</si>
  <si>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</si>
  <si>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</si>
  <si>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</si>
  <si>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</si>
  <si>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</si>
  <si>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</si>
  <si>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</si>
  <si>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</si>
  <si>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</si>
  <si>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</si>
  <si>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</si>
  <si>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</si>
  <si>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</si>
  <si>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</si>
  <si>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</si>
  <si>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</si>
  <si>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</si>
  <si>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</si>
  <si>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</si>
  <si>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</si>
  <si>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</si>
  <si>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</si>
  <si>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</si>
  <si>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</si>
  <si>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</si>
  <si>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</si>
  <si>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</si>
  <si>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</si>
  <si>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</si>
  <si>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</si>
  <si>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</si>
  <si>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</si>
  <si>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</si>
  <si>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</si>
  <si>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</si>
  <si>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</si>
  <si>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</si>
  <si>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</si>
  <si>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</si>
  <si>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</si>
  <si>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</si>
  <si>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</si>
  <si>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</si>
  <si>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</si>
  <si>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</si>
  <si>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</si>
  <si>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</si>
  <si>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</si>
  <si>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</si>
  <si>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</si>
  <si>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</si>
  <si>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</si>
  <si>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</si>
  <si>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</si>
  <si>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</si>
  <si>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</si>
  <si>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</si>
  <si>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</si>
  <si>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</si>
  <si>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</si>
  <si>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</si>
  <si>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</si>
  <si>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</si>
  <si>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</si>
  <si>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</si>
  <si>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</si>
  <si>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</si>
  <si>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</si>
  <si>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</si>
  <si>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</si>
  <si>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</si>
  <si>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</si>
  <si>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</si>
  <si>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</si>
  <si>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</si>
  <si>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</si>
  <si>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</si>
  <si>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</si>
  <si>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</si>
  <si>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</si>
  <si>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</si>
  <si>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</si>
  <si>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</si>
  <si>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</si>
  <si>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</si>
  <si>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</si>
  <si>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</si>
  <si>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</si>
  <si>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</si>
  <si>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</si>
  <si>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</si>
  <si>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</si>
  <si>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</si>
  <si>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</si>
  <si>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</si>
  <si>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</si>
  <si>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</si>
  <si>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</si>
  <si>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</si>
  <si>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</si>
  <si>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</si>
  <si>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</si>
  <si>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</si>
  <si>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</si>
  <si>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</si>
  <si>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</si>
  <si>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</si>
  <si>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</si>
  <si>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</si>
  <si>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</si>
  <si>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</si>
  <si>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</si>
  <si>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</si>
  <si>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</si>
  <si>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</si>
  <si>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</si>
  <si>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</si>
  <si>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</si>
  <si>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</si>
  <si>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</si>
  <si>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</si>
  <si>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</si>
  <si>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</si>
  <si>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</si>
  <si>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</si>
  <si>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</si>
  <si>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</si>
  <si>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</si>
  <si>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</si>
  <si>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</si>
  <si>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</si>
  <si>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</si>
  <si>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</si>
  <si>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</si>
  <si>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</si>
  <si>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</si>
  <si>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</si>
  <si>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</si>
  <si>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</si>
  <si>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</si>
  <si>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</si>
  <si>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</si>
  <si>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</si>
  <si>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</si>
  <si>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</si>
  <si>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</si>
  <si>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</si>
  <si>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</si>
  <si>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</si>
  <si>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</si>
  <si>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</si>
  <si>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</si>
  <si>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</si>
  <si>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</si>
  <si>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</si>
  <si>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</si>
  <si>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</si>
  <si>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</si>
  <si>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</si>
  <si>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</si>
  <si>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</si>
  <si>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</si>
  <si>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</si>
  <si>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</si>
  <si>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</si>
  <si>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</si>
  <si>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</si>
  <si>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</si>
  <si>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</si>
  <si>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</si>
  <si>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</si>
  <si>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</si>
  <si>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</si>
  <si>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</si>
  <si>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</si>
  <si>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</si>
  <si>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</si>
  <si>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</si>
  <si>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</si>
  <si>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</si>
  <si>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</si>
  <si>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</si>
  <si>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</si>
  <si>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</si>
  <si>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</si>
  <si>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</si>
  <si>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</si>
  <si>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</si>
  <si>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</si>
  <si>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</si>
  <si>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</si>
  <si>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</si>
  <si>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</si>
  <si>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</si>
  <si>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</si>
  <si>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</si>
  <si>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</si>
  <si>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</si>
  <si>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</si>
  <si>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</si>
  <si>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</si>
  <si>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</si>
  <si>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</si>
  <si>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</si>
  <si>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</si>
  <si>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</si>
  <si>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</si>
  <si>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</si>
  <si>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</si>
  <si>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</si>
  <si>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</si>
  <si>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</si>
  <si>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</si>
  <si>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</si>
  <si>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</si>
  <si>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</si>
  <si>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</si>
  <si>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</si>
  <si>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</si>
  <si>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</si>
  <si>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</si>
  <si>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</si>
  <si>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</si>
  <si>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</si>
  <si>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</si>
  <si>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</si>
  <si>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</si>
  <si>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</si>
  <si>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</si>
  <si>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</si>
  <si>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</si>
  <si>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</si>
  <si>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</si>
  <si>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</si>
  <si>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</si>
  <si>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</si>
  <si>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</si>
  <si>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</si>
  <si>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</si>
  <si>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</si>
  <si>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</si>
  <si>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</si>
  <si>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</si>
  <si>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</si>
  <si>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</si>
  <si>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</si>
  <si>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</si>
  <si>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</si>
  <si>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</si>
  <si>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</si>
  <si>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</si>
  <si>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</si>
  <si>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</si>
  <si>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</si>
  <si>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</si>
  <si>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</si>
  <si>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</si>
  <si>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</si>
  <si>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</si>
  <si>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</si>
  <si>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</si>
  <si>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</si>
  <si>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</si>
  <si>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</si>
  <si>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</si>
  <si>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</si>
  <si>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</si>
  <si>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</si>
  <si>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</si>
  <si>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</si>
  <si>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</si>
  <si>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</si>
  <si>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</si>
  <si>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</si>
  <si>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</si>
  <si>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</si>
  <si>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</si>
  <si>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</si>
  <si>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</si>
  <si>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</si>
  <si>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</si>
  <si>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</si>
  <si>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</si>
  <si>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</si>
  <si>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</si>
  <si>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</si>
  <si>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</si>
  <si>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</si>
  <si>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</si>
  <si>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</si>
  <si>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</si>
  <si>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</si>
  <si>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</si>
  <si>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</si>
  <si>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</si>
  <si>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</si>
  <si>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</si>
  <si>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</si>
  <si>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</si>
  <si>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</si>
  <si>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</si>
  <si>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</si>
  <si>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</si>
  <si>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</si>
  <si>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</si>
  <si>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</si>
  <si>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</si>
  <si>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</si>
  <si>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</si>
  <si>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</si>
  <si>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</si>
  <si>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</si>
  <si>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</si>
  <si>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</si>
  <si>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</si>
  <si>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</si>
  <si>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</si>
  <si>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</si>
  <si>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</si>
  <si>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</si>
  <si>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</si>
  <si>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</si>
  <si>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</si>
  <si>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</si>
  <si>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</si>
  <si>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</si>
  <si>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</si>
  <si>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</si>
  <si>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</si>
  <si>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</si>
  <si>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</si>
  <si>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</si>
  <si>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</si>
  <si>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</si>
  <si>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</si>
  <si>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</si>
  <si>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</si>
  <si>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</si>
  <si>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</si>
  <si>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</si>
  <si>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</si>
  <si>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</si>
  <si>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</si>
  <si>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</si>
  <si>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</si>
  <si>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</si>
  <si>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</si>
  <si>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</si>
  <si>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</si>
  <si>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</si>
  <si>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</si>
  <si>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</si>
  <si>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</si>
  <si>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</si>
  <si>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</si>
  <si>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</si>
  <si>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</si>
  <si>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</si>
  <si>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</si>
  <si>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</si>
  <si>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</si>
  <si>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</si>
  <si>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</si>
  <si>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</si>
  <si>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</si>
  <si>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</si>
  <si>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</si>
  <si>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</si>
  <si>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</si>
  <si>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</si>
  <si>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</si>
  <si>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</si>
  <si>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</si>
  <si>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</si>
  <si>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</si>
  <si>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</si>
  <si>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</si>
  <si>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</si>
  <si>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</si>
  <si>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</si>
  <si>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</si>
  <si>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</si>
  <si>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</si>
  <si>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</si>
  <si>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</si>
  <si>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</si>
  <si>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</si>
  <si>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</si>
  <si>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</si>
  <si>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</si>
  <si>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</si>
  <si>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</si>
  <si>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</si>
  <si>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</si>
  <si>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</si>
  <si>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</si>
  <si>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</si>
  <si>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</si>
  <si>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</si>
  <si>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</si>
  <si>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</si>
  <si>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</si>
  <si>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</si>
  <si>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</si>
  <si>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</si>
  <si>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</si>
  <si>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</si>
  <si>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</si>
  <si>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</si>
  <si>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</si>
  <si>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</si>
  <si>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</si>
  <si>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</si>
  <si>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</si>
  <si>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</si>
  <si>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</si>
  <si>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</si>
  <si>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</si>
  <si>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</si>
  <si>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</si>
  <si>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</si>
  <si>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</si>
  <si>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</si>
  <si>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</si>
  <si>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</si>
  <si>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</si>
  <si>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</si>
  <si>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</si>
  <si>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</si>
  <si>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</si>
  <si>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</si>
  <si>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</si>
  <si>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</si>
  <si>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</si>
  <si>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</si>
  <si>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</si>
  <si>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</si>
  <si>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</si>
  <si>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</si>
  <si>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</si>
  <si>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</si>
  <si>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</si>
  <si>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</si>
  <si>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</si>
  <si>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</si>
  <si>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</si>
  <si>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</si>
  <si>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</si>
  <si>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</si>
  <si>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</si>
  <si>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</si>
  <si>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</si>
  <si>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</si>
  <si>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</si>
  <si>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</si>
  <si>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</si>
  <si>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</si>
  <si>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</si>
  <si>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</si>
  <si>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</si>
  <si>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</si>
  <si>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</si>
  <si>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</si>
  <si>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</si>
  <si>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</si>
  <si>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</si>
  <si>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</si>
  <si>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</si>
  <si>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</si>
  <si>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</si>
  <si>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</si>
  <si>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</si>
  <si>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</si>
  <si>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</si>
  <si>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</si>
  <si>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</si>
  <si>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</si>
  <si>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</si>
  <si>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</si>
  <si>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</si>
  <si>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</si>
  <si>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</si>
  <si>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</si>
  <si>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</si>
  <si>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</si>
  <si>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</si>
  <si>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</si>
  <si>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</si>
  <si>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</si>
  <si>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</si>
  <si>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</si>
  <si>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</si>
  <si>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</si>
  <si>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</si>
  <si>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</si>
  <si>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</si>
  <si>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</si>
  <si>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</si>
  <si>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</si>
  <si>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</si>
  <si>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</si>
  <si>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</si>
  <si>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</si>
  <si>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</si>
  <si>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</si>
  <si>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</si>
  <si>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</si>
  <si>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</si>
  <si>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</si>
  <si>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</si>
  <si>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</si>
  <si>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</si>
  <si>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</si>
  <si>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</si>
  <si>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</si>
  <si>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</si>
  <si>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</si>
  <si>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</si>
  <si>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</si>
  <si>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</si>
  <si>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</si>
  <si>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</si>
  <si>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</si>
  <si>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</si>
  <si>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</si>
  <si>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</si>
  <si>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</si>
  <si>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</si>
  <si>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</si>
  <si>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</si>
  <si>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</si>
  <si>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</si>
  <si>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</si>
  <si>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</si>
  <si>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</si>
  <si>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</si>
  <si>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</si>
  <si>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</si>
  <si>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</si>
  <si>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</si>
  <si>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</si>
  <si>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</si>
  <si>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</si>
  <si>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</si>
  <si>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</si>
  <si>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</si>
  <si>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</si>
  <si>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</si>
  <si>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</si>
  <si>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</si>
  <si>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</si>
  <si>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</si>
  <si>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</si>
  <si>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</si>
  <si>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</si>
  <si>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</si>
  <si>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</si>
  <si>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</si>
  <si>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</si>
  <si>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</si>
  <si>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</si>
  <si>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</si>
  <si>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</si>
  <si>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</si>
  <si>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</si>
  <si>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</si>
  <si>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</si>
  <si>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</si>
  <si>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</si>
  <si>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</si>
  <si>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</si>
  <si>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</si>
  <si>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</si>
  <si>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</si>
  <si>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</si>
  <si>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</si>
  <si>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</si>
  <si>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</si>
  <si>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</si>
  <si>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</si>
  <si>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</si>
  <si>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</si>
  <si>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</si>
  <si>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</si>
  <si>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</si>
  <si>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</si>
  <si>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</si>
  <si>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</si>
  <si>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</si>
  <si>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</si>
  <si>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</si>
  <si>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</si>
  <si>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</si>
  <si>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</si>
  <si>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</si>
  <si>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</si>
  <si>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</si>
  <si>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</si>
  <si>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</si>
  <si>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</si>
  <si>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</si>
  <si>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</si>
  <si>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</si>
  <si>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</si>
  <si>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</si>
  <si>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</si>
  <si>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</si>
  <si>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</si>
  <si>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</si>
  <si>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</si>
  <si>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</si>
  <si>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</si>
  <si>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</si>
  <si>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</si>
  <si>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</si>
  <si>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</si>
  <si>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</si>
  <si>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</si>
  <si>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</si>
  <si>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</si>
  <si>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</si>
  <si>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</si>
  <si>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</si>
  <si>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</si>
  <si>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</si>
  <si>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</si>
  <si>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</si>
  <si>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</si>
  <si>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</si>
  <si>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</si>
  <si>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</si>
  <si>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</si>
  <si>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</si>
  <si>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</si>
  <si>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</si>
  <si>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</si>
  <si>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</si>
  <si>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</si>
  <si>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</si>
  <si>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</si>
  <si>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</si>
  <si>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</si>
  <si>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</si>
  <si>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</si>
  <si>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</si>
  <si>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</si>
  <si>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</si>
  <si>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</si>
  <si>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</si>
  <si>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</si>
  <si>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</si>
  <si>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</si>
  <si>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</si>
  <si>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</si>
  <si>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</si>
  <si>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</si>
  <si>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</si>
  <si>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</si>
  <si>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</si>
  <si>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</si>
  <si>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</si>
  <si>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</si>
  <si>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</si>
  <si>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</si>
  <si>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</si>
  <si>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</si>
  <si>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</si>
  <si>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</si>
  <si>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</si>
  <si>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</si>
  <si>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</si>
  <si>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</si>
  <si>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</si>
  <si>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</si>
  <si>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</si>
  <si>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</si>
  <si>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</si>
  <si>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</si>
  <si>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</si>
  <si>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</si>
  <si>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</si>
  <si>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</si>
  <si>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</si>
  <si>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</si>
  <si>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</si>
  <si>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</si>
  <si>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</si>
  <si>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</si>
  <si>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</si>
  <si>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06/18</t>
  </si>
  <si>
    <t>09/22</t>
  </si>
  <si>
    <t>CARES Tab has been adjusted to reflect the funds received directly from the State.  The $2K received from Dummer was moved</t>
  </si>
  <si>
    <t xml:space="preserve">the General Fund.  </t>
  </si>
  <si>
    <t>Owed Lunch Revenues credited to Milan for July/August lunches.  These were fully reported and rec'd through GRS Coop</t>
  </si>
  <si>
    <t>No expenses were incurred for July/August lunches. Amount owed $10,560.</t>
  </si>
  <si>
    <t>13-33</t>
  </si>
  <si>
    <t>Changes made 10/1/2021 &gt; Food Service Program</t>
  </si>
  <si>
    <t>Reduced State lunch revenues by $57.60</t>
  </si>
  <si>
    <t>Reduced Fed lunch revenues by $10,502.40</t>
  </si>
  <si>
    <t>Reduced Revenues by $10,560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</si>
</sst>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zoomScaleNormal="100" workbookViewId="0">
      <pane xSplit="5" ySplit="3" topLeftCell="F635" activePane="bottomRight" state="frozen"/>
      <selection pane="topRight" activeCell="F1" sqref="F1"/>
      <selection pane="bottomLeft" activeCell="A4" sqref="A4"/>
      <selection pane="bottomRight" activeCell="C3" sqref="C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1263</v>
      </c>
      <c r="B2" s="21">
        <v>355</v>
      </c>
      <c r="C2" s="21">
        <v>355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-31661.56</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v>43515.8</v>
      </c>
      <c r="G10" s="18"/>
      <c r="H10" s="18"/>
      <c r="I10" s="18"/>
      <c r="J10" s="67">
        <f>SUM(I441)</f>
        <v>413202.19</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165990.14000000001</v>
      </c>
      <c r="G12" s="18">
        <v>10168.75</v>
      </c>
      <c r="H12" s="18"/>
      <c r="I12" s="18"/>
      <c r="J12" s="67">
        <f>SUM(I442)</f>
        <v>4880.8500000000004</v>
      </c>
      <c r="K12" s="24" t="s">
        <v>288</v>
      </c>
      <c r="L12" s="24" t="s">
        <v>288</v>
      </c>
      <c r="M12" s="8"/>
      <c r="N12" s="266"/>
    </row>
    <row r="13" spans="1:14" s="3" customFormat="1" ht="12.2" customHeight="1" x14ac:dyDescent="0.15">
      <c r="A13" s="1" t="s">
        <v>604</v>
      </c>
      <c r="B13" s="2" t="s">
        <v>289</v>
      </c>
      <c r="C13" s="6">
        <v>5</v>
      </c>
      <c r="D13" s="2" t="s">
        <v>428</v>
      </c>
      <c r="E13" s="6">
        <v>140</v>
      </c>
      <c r="F13" s="18">
        <v>154515.57999999999</v>
      </c>
      <c r="G13" s="18">
        <v>11850.38</v>
      </c>
      <c r="H13" s="18">
        <v>116754.32</v>
      </c>
      <c r="I13" s="18">
        <v>72596.539999999994</v>
      </c>
      <c r="J13" s="67">
        <f>SUM(I443)</f>
        <v>0</v>
      </c>
      <c r="K13" s="24" t="s">
        <v>288</v>
      </c>
      <c r="L13" s="24" t="s">
        <v>288</v>
      </c>
      <c r="M13" s="8"/>
      <c r="N13" s="266"/>
    </row>
    <row r="14" spans="1:14" s="3" customFormat="1" ht="12.2" customHeight="1" x14ac:dyDescent="0.15">
      <c r="A14" s="1" t="s">
        <v>565</v>
      </c>
      <c r="B14" s="2" t="s">
        <v>289</v>
      </c>
      <c r="C14" s="6">
        <v>6</v>
      </c>
      <c r="D14" s="2" t="s">
        <v>428</v>
      </c>
      <c r="E14" s="6">
        <v>150</v>
      </c>
      <c r="F14" s="18">
        <v>1564</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333923.95999999996</v>
      </c>
      <c r="G19" s="41">
        <f>SUM(G9:G18)</f>
        <v>22019.129999999997</v>
      </c>
      <c r="H19" s="41">
        <f>SUM(H9:H18)</f>
        <v>116754.32</v>
      </c>
      <c r="I19" s="41">
        <f>SUM(I9:I18)</f>
        <v>72596.539999999994</v>
      </c>
      <c r="J19" s="41">
        <f>SUM(J9:J18)</f>
        <v>418083.04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108443.2</v>
      </c>
      <c r="I22" s="18">
        <v>72596.539999999994</v>
      </c>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1510.02</v>
      </c>
      <c r="G23" s="18">
        <v>10560</v>
      </c>
      <c r="H23" s="18">
        <v>4167.21</v>
      </c>
      <c r="I23" s="18"/>
      <c r="J23" s="67">
        <f>SUM(I450)</f>
        <v>72596.539999999994</v>
      </c>
      <c r="K23" s="24" t="s">
        <v>288</v>
      </c>
      <c r="L23" s="24" t="s">
        <v>288</v>
      </c>
      <c r="M23" s="8"/>
      <c r="N23" s="266"/>
    </row>
    <row r="24" spans="1:14" s="3" customFormat="1" ht="12.2" customHeight="1" x14ac:dyDescent="0.15">
      <c r="A24" s="1" t="s">
        <v>570</v>
      </c>
      <c r="B24" s="2" t="s">
        <v>289</v>
      </c>
      <c r="C24" s="6">
        <v>14</v>
      </c>
      <c r="D24" s="2" t="s">
        <v>429</v>
      </c>
      <c r="E24" s="6">
        <v>420</v>
      </c>
      <c r="F24" s="18">
        <v>6461.95</v>
      </c>
      <c r="G24" s="18">
        <v>9785.69</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-13421.85+17138.95</f>
        <v>3717.1000000000004</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7500</v>
      </c>
      <c r="G30" s="18"/>
      <c r="H30" s="18">
        <v>4143.91</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19189.07</v>
      </c>
      <c r="G32" s="41">
        <f>SUM(G22:G31)</f>
        <v>20345.690000000002</v>
      </c>
      <c r="H32" s="41">
        <f>SUM(H22:H31)</f>
        <v>116754.32</v>
      </c>
      <c r="I32" s="41">
        <f>SUM(I22:I31)</f>
        <v>72596.539999999994</v>
      </c>
      <c r="J32" s="41">
        <f>SUM(J22:J31)</f>
        <v>72596.539999999994</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49049</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1673.44</v>
      </c>
      <c r="H48" s="18"/>
      <c r="I48" s="18"/>
      <c r="J48" s="13">
        <f>SUM(I460)</f>
        <v>345486.5</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265685.89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314734.89</v>
      </c>
      <c r="G51" s="41">
        <f>SUM(G35:G50)</f>
        <v>1673.44</v>
      </c>
      <c r="H51" s="41">
        <f>SUM(H35:H50)</f>
        <v>0</v>
      </c>
      <c r="I51" s="41">
        <f>SUM(I35:I50)</f>
        <v>0</v>
      </c>
      <c r="J51" s="41">
        <f>SUM(J35:J50)</f>
        <v>345486.5</v>
      </c>
      <c r="K51" s="45" t="s">
        <v>288</v>
      </c>
      <c r="L51" s="45" t="s">
        <v>288</v>
      </c>
      <c r="N51" s="264"/>
    </row>
    <row r="52" spans="1:14" s="3" customFormat="1" ht="12.2" customHeight="1" thickTop="1" x14ac:dyDescent="0.15">
      <c r="A52" s="38" t="s">
        <v>455</v>
      </c>
      <c r="B52" s="39" t="s">
        <v>289</v>
      </c>
      <c r="C52" s="6">
        <v>37</v>
      </c>
      <c r="D52" s="39" t="s">
        <v>653</v>
      </c>
      <c r="E52" s="39"/>
      <c r="F52" s="41">
        <f>F51+F32</f>
        <v>333923.96000000002</v>
      </c>
      <c r="G52" s="41">
        <f>G51+G32</f>
        <v>22019.13</v>
      </c>
      <c r="H52" s="41">
        <f>H51+H32</f>
        <v>116754.32</v>
      </c>
      <c r="I52" s="41">
        <f>I51+I32</f>
        <v>72596.539999999994</v>
      </c>
      <c r="J52" s="41">
        <f>J51+J32</f>
        <v>418083.04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1754779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1754779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156157.87</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156157.87</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238.18</v>
      </c>
      <c r="G96" s="18"/>
      <c r="H96" s="18"/>
      <c r="I96" s="18"/>
      <c r="J96" s="18">
        <v>296.54000000000002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838.75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7500</v>
      </c>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757.54</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325.60000000000002</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7180.92</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15244.7</v>
      </c>
      <c r="G111" s="41">
        <f>SUM(G96:G110)</f>
        <v>838.75</v>
      </c>
      <c r="H111" s="41">
        <f>SUM(H96:H110)</f>
        <v>757.54</v>
      </c>
      <c r="I111" s="41">
        <f>SUM(I96:I110)</f>
        <v>0</v>
      </c>
      <c r="J111" s="41">
        <f>SUM(J96:J110)</f>
        <v>296.54000000000002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1926181.57</v>
      </c>
      <c r="G112" s="41">
        <f>G60+G111</f>
        <v>838.75</v>
      </c>
      <c r="H112" s="41">
        <f>H60+H79+H94+H111</f>
        <v>757.54</v>
      </c>
      <c r="I112" s="41">
        <f>I60+I111</f>
        <v>0</v>
      </c>
      <c r="J112" s="41">
        <f>J60+J111</f>
        <v>296.54000000000002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1448848.64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207183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1656031.64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v>2400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991.09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991.09</v>
      </c>
      <c r="H136" s="41">
        <f>SUM(H123:H135)</f>
        <v>2400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1656031.64</v>
      </c>
      <c r="G140" s="41">
        <f>G121+SUM(G136:G137)</f>
        <v>991.09</v>
      </c>
      <c r="H140" s="41">
        <f>H121+SUM(H136:H139)</f>
        <v>2400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5035</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43073.25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950</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60306.21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v>60428.07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4011.6</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v>3704.17</v>
      </c>
      <c r="H161" s="18">
        <v>35600</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v>86070.22</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4011.6</v>
      </c>
      <c r="G163" s="41">
        <f>SUM(G150:G162)</f>
        <v>64010.38</v>
      </c>
      <c r="H163" s="41">
        <f>SUM(H150:H162)</f>
        <v>231156.54</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3350</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v>7038.29</v>
      </c>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14399.890000000001</v>
      </c>
      <c r="G170" s="41">
        <f>G147+G163+SUM(G164:G169)</f>
        <v>64010.38</v>
      </c>
      <c r="H170" s="41">
        <f>H147+H163+SUM(H164:H169)</f>
        <v>231156.54</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11000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11000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v>72596.539999999994</v>
      </c>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72596.539999999994</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72596.539999999994</v>
      </c>
      <c r="J193" s="41">
        <f>J184</f>
        <v>11000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3596613.1</v>
      </c>
      <c r="G194" s="47">
        <f>G112+G140+G170+G193</f>
        <v>65840.22</v>
      </c>
      <c r="H194" s="47">
        <f>H112+H140+H170+H193</f>
        <v>234314.08000000002</v>
      </c>
      <c r="I194" s="47">
        <f>I112+I140+I170+I193</f>
        <v>72596.539999999994</v>
      </c>
      <c r="J194" s="47">
        <f>J112+J140+J193</f>
        <v>11296.54</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342035.68</v>
      </c>
      <c r="G198" s="18">
        <v>197911.94</v>
      </c>
      <c r="H198" s="18">
        <v>2647.08</v>
      </c>
      <c r="I198" s="18">
        <v>26829.64</v>
      </c>
      <c r="J198" s="18">
        <v>18837.29</v>
      </c>
      <c r="K198" s="18">
        <v>120</v>
      </c>
      <c r="L198" s="19">
        <f>SUM(F198:K198)</f>
        <v>588381.63</v>
      </c>
      <c r="M198" s="8"/>
      <c r="N198" s="266"/>
    </row>
    <row r="199" spans="1:14" s="3" customFormat="1" ht="12.2" customHeight="1" x14ac:dyDescent="0.15">
      <c r="A199" s="1" t="s">
        <v>439</v>
      </c>
      <c r="B199" s="2" t="s">
        <v>341</v>
      </c>
      <c r="C199" s="2" t="s">
        <v>291</v>
      </c>
      <c r="D199" s="2" t="s">
        <v>431</v>
      </c>
      <c r="E199" s="6">
        <v>1200</v>
      </c>
      <c r="F199" s="18">
        <v>157311.77000000002</v>
      </c>
      <c r="G199" s="18">
        <v>19532.16</v>
      </c>
      <c r="H199" s="18">
        <v>32942.019999999997</v>
      </c>
      <c r="I199" s="18">
        <v>1054.22</v>
      </c>
      <c r="J199" s="18">
        <v>379.89</v>
      </c>
      <c r="K199" s="18">
        <v>0</v>
      </c>
      <c r="L199" s="19">
        <f>SUM(F199:K199)</f>
        <v>211220.06000000003</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4018.54</v>
      </c>
      <c r="G201" s="18">
        <v>796.97</v>
      </c>
      <c r="H201" s="18"/>
      <c r="I201" s="18"/>
      <c r="J201" s="18"/>
      <c r="K201" s="18"/>
      <c r="L201" s="19">
        <f>SUM(F201:K201)</f>
        <v>4815.51</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96387.71</v>
      </c>
      <c r="G203" s="18">
        <v>50540.68</v>
      </c>
      <c r="H203" s="18">
        <v>81067.740000000005</v>
      </c>
      <c r="I203" s="18">
        <v>2845.7999999999997</v>
      </c>
      <c r="J203" s="18">
        <v>1530.38</v>
      </c>
      <c r="K203" s="18">
        <v>278</v>
      </c>
      <c r="L203" s="19">
        <f t="shared" ref="L203:L209" si="0">SUM(F203:K203)</f>
        <v>232650.31</v>
      </c>
      <c r="M203" s="8"/>
      <c r="N203" s="266"/>
    </row>
    <row r="204" spans="1:14" s="3" customFormat="1" ht="12.2" customHeight="1" x14ac:dyDescent="0.15">
      <c r="A204" s="1" t="s">
        <v>443</v>
      </c>
      <c r="B204" s="2" t="s">
        <v>341</v>
      </c>
      <c r="C204" s="2" t="s">
        <v>295</v>
      </c>
      <c r="D204" s="2" t="s">
        <v>431</v>
      </c>
      <c r="E204" s="6">
        <v>2200</v>
      </c>
      <c r="F204" s="18">
        <v>27614.639999999999</v>
      </c>
      <c r="G204" s="18">
        <v>3670.54</v>
      </c>
      <c r="H204" s="18">
        <v>2453.2600000000002</v>
      </c>
      <c r="I204" s="18">
        <v>1159.8</v>
      </c>
      <c r="J204" s="18">
        <v>3260.46</v>
      </c>
      <c r="K204" s="18"/>
      <c r="L204" s="19">
        <f t="shared" si="0"/>
        <v>38158.700000000004</v>
      </c>
      <c r="M204" s="8"/>
      <c r="N204" s="266"/>
    </row>
    <row r="205" spans="1:14" s="3" customFormat="1" ht="12.2" customHeight="1" x14ac:dyDescent="0.15">
      <c r="A205" s="1" t="s">
        <v>444</v>
      </c>
      <c r="B205" s="2" t="s">
        <v>341</v>
      </c>
      <c r="C205" s="2" t="s">
        <v>296</v>
      </c>
      <c r="D205" s="2" t="s">
        <v>431</v>
      </c>
      <c r="E205" s="6">
        <v>2300</v>
      </c>
      <c r="F205" s="18">
        <v>1856.2793360045794</v>
      </c>
      <c r="G205" s="18">
        <v>146.77163938179737</v>
      </c>
      <c r="H205" s="18">
        <v>87260.961763022337</v>
      </c>
      <c r="I205" s="18">
        <v>180.16828849456212</v>
      </c>
      <c r="J205" s="18"/>
      <c r="K205" s="18">
        <v>1587.3481373783629</v>
      </c>
      <c r="L205" s="19">
        <f t="shared" si="0"/>
        <v>91031.52916428163</v>
      </c>
      <c r="M205" s="8"/>
      <c r="N205" s="266"/>
    </row>
    <row r="206" spans="1:14" s="3" customFormat="1" ht="12.2" customHeight="1" x14ac:dyDescent="0.15">
      <c r="A206" s="1" t="s">
        <v>445</v>
      </c>
      <c r="B206" s="2" t="s">
        <v>341</v>
      </c>
      <c r="C206" s="2" t="s">
        <v>297</v>
      </c>
      <c r="D206" s="2" t="s">
        <v>431</v>
      </c>
      <c r="E206" s="6">
        <v>2400</v>
      </c>
      <c r="F206" s="18">
        <v>95486.76</v>
      </c>
      <c r="G206" s="18">
        <v>69164.22</v>
      </c>
      <c r="H206" s="18">
        <v>3836.95</v>
      </c>
      <c r="I206" s="18">
        <v>3596.42</v>
      </c>
      <c r="J206" s="18">
        <v>0</v>
      </c>
      <c r="K206" s="18">
        <v>2700</v>
      </c>
      <c r="L206" s="19">
        <f t="shared" si="0"/>
        <v>174784.35</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65704.989999999991</v>
      </c>
      <c r="G208" s="18">
        <v>31234.160000000003</v>
      </c>
      <c r="H208" s="18">
        <v>48893.409999999996</v>
      </c>
      <c r="I208" s="18">
        <v>66234.960000000006</v>
      </c>
      <c r="J208" s="18">
        <v>5006.79</v>
      </c>
      <c r="K208" s="18">
        <v>0</v>
      </c>
      <c r="L208" s="19">
        <f t="shared" si="0"/>
        <v>217074.31000000003</v>
      </c>
      <c r="M208" s="8"/>
      <c r="N208" s="266"/>
    </row>
    <row r="209" spans="1:14" s="3" customFormat="1" ht="12.2" customHeight="1" x14ac:dyDescent="0.15">
      <c r="A209" s="1" t="s">
        <v>448</v>
      </c>
      <c r="B209" s="2" t="s">
        <v>341</v>
      </c>
      <c r="C209" s="2" t="s">
        <v>300</v>
      </c>
      <c r="D209" s="2" t="s">
        <v>431</v>
      </c>
      <c r="E209" s="6">
        <v>2700</v>
      </c>
      <c r="F209" s="18"/>
      <c r="G209" s="18"/>
      <c r="H209" s="18">
        <v>102262.20416282924</v>
      </c>
      <c r="I209" s="18">
        <v>4955.6379259532132</v>
      </c>
      <c r="J209" s="18"/>
      <c r="K209" s="18"/>
      <c r="L209" s="19">
        <f t="shared" si="0"/>
        <v>107217.84208878245</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790416.3693360046</v>
      </c>
      <c r="G212" s="41">
        <f t="shared" si="1"/>
        <v>372997.44163938181</v>
      </c>
      <c r="H212" s="41">
        <f t="shared" si="1"/>
        <v>361363.62592585158</v>
      </c>
      <c r="I212" s="41">
        <f t="shared" si="1"/>
        <v>106856.64621444778</v>
      </c>
      <c r="J212" s="41">
        <f t="shared" si="1"/>
        <v>29014.81</v>
      </c>
      <c r="K212" s="41">
        <f t="shared" si="1"/>
        <v>4685.3481373783634</v>
      </c>
      <c r="L212" s="41">
        <f t="shared" si="1"/>
        <v>1665334.2412530642</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0</v>
      </c>
      <c r="G216" s="18">
        <v>0</v>
      </c>
      <c r="H216" s="18">
        <v>342309.77</v>
      </c>
      <c r="I216" s="18">
        <v>0</v>
      </c>
      <c r="J216" s="18">
        <v>0</v>
      </c>
      <c r="K216" s="18">
        <v>0</v>
      </c>
      <c r="L216" s="19">
        <f>SUM(F216:K216)</f>
        <v>342309.77</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0</v>
      </c>
      <c r="G221" s="18">
        <v>0</v>
      </c>
      <c r="H221" s="18">
        <v>322.51</v>
      </c>
      <c r="I221" s="18">
        <v>0</v>
      </c>
      <c r="J221" s="18">
        <v>0</v>
      </c>
      <c r="K221" s="18">
        <v>0</v>
      </c>
      <c r="L221" s="19">
        <f t="shared" ref="L221:L227" si="2">SUM(F221:K221)</f>
        <v>322.51</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v>443.14825414997142</v>
      </c>
      <c r="G223" s="18">
        <v>35.038689753863764</v>
      </c>
      <c r="H223" s="18">
        <v>20831.74773898111</v>
      </c>
      <c r="I223" s="18">
        <v>43.011448196908987</v>
      </c>
      <c r="J223" s="18"/>
      <c r="K223" s="18">
        <v>378.94649914138523</v>
      </c>
      <c r="L223" s="19">
        <f t="shared" si="2"/>
        <v>21731.892630223239</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v>27869.66354024682</v>
      </c>
      <c r="I227" s="18">
        <v>1350.5670326026891</v>
      </c>
      <c r="J227" s="18"/>
      <c r="K227" s="18"/>
      <c r="L227" s="19">
        <f t="shared" si="2"/>
        <v>29220.230572849508</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443.14825414997142</v>
      </c>
      <c r="G230" s="41">
        <f>SUM(G216:G229)</f>
        <v>35.038689753863764</v>
      </c>
      <c r="H230" s="41">
        <f>SUM(H216:H229)</f>
        <v>391333.69127922796</v>
      </c>
      <c r="I230" s="41">
        <f>SUM(I216:I229)</f>
        <v>1393.5784807995981</v>
      </c>
      <c r="J230" s="41">
        <f>SUM(J216:J229)</f>
        <v>0</v>
      </c>
      <c r="K230" s="41">
        <f t="shared" si="3"/>
        <v>378.94649914138523</v>
      </c>
      <c r="L230" s="41">
        <f t="shared" si="3"/>
        <v>393584.40320307278</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1015083.8</v>
      </c>
      <c r="I234" s="18"/>
      <c r="J234" s="18"/>
      <c r="K234" s="18"/>
      <c r="L234" s="19">
        <f>SUM(F234:K234)</f>
        <v>1015083.8</v>
      </c>
      <c r="M234" s="8"/>
      <c r="N234" s="266"/>
    </row>
    <row r="235" spans="1:14" s="3" customFormat="1" ht="12.2" customHeight="1" x14ac:dyDescent="0.15">
      <c r="A235" s="1" t="s">
        <v>439</v>
      </c>
      <c r="B235" s="2" t="s">
        <v>350</v>
      </c>
      <c r="C235" s="2" t="s">
        <v>291</v>
      </c>
      <c r="D235" s="2" t="s">
        <v>431</v>
      </c>
      <c r="E235" s="6">
        <v>1200</v>
      </c>
      <c r="F235" s="18"/>
      <c r="G235" s="18"/>
      <c r="H235" s="18">
        <v>63957.869999999995</v>
      </c>
      <c r="I235" s="18"/>
      <c r="J235" s="18"/>
      <c r="K235" s="18"/>
      <c r="L235" s="19">
        <f>SUM(F235:K235)</f>
        <v>63957.869999999995</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5283.03</v>
      </c>
      <c r="I239" s="18"/>
      <c r="J239" s="18"/>
      <c r="K239" s="18"/>
      <c r="L239" s="19">
        <f t="shared" ref="L239:L245" si="4">SUM(F239:K239)</f>
        <v>5283.03</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1100.5724098454493</v>
      </c>
      <c r="G241" s="18">
        <v>87.019670864338863</v>
      </c>
      <c r="H241" s="18">
        <v>51736.290497996561</v>
      </c>
      <c r="I241" s="18">
        <v>106.82026330852891</v>
      </c>
      <c r="J241" s="18"/>
      <c r="K241" s="18">
        <v>941.12536348025185</v>
      </c>
      <c r="L241" s="19">
        <f t="shared" si="4"/>
        <v>53971.828205495127</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78675.172296923934</v>
      </c>
      <c r="I245" s="18">
        <v>3354.1750414440962</v>
      </c>
      <c r="J245" s="18"/>
      <c r="K245" s="18"/>
      <c r="L245" s="19">
        <f t="shared" si="4"/>
        <v>82029.347338368025</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1100.5724098454493</v>
      </c>
      <c r="G248" s="41">
        <f t="shared" si="5"/>
        <v>87.019670864338863</v>
      </c>
      <c r="H248" s="41">
        <f t="shared" si="5"/>
        <v>1214736.1627949206</v>
      </c>
      <c r="I248" s="41">
        <f t="shared" si="5"/>
        <v>3460.9953047526251</v>
      </c>
      <c r="J248" s="41">
        <f t="shared" si="5"/>
        <v>0</v>
      </c>
      <c r="K248" s="41">
        <f t="shared" si="5"/>
        <v>941.12536348025185</v>
      </c>
      <c r="L248" s="41">
        <f t="shared" si="5"/>
        <v>1220325.875543863</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v>2500</v>
      </c>
      <c r="G254" s="18">
        <v>197.64999999999998</v>
      </c>
      <c r="H254" s="18">
        <v>1134.97</v>
      </c>
      <c r="I254" s="18">
        <v>2906.62</v>
      </c>
      <c r="J254" s="18"/>
      <c r="K254" s="18">
        <v>367</v>
      </c>
      <c r="L254" s="19">
        <f t="shared" si="6"/>
        <v>7106.24</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2500</v>
      </c>
      <c r="G257" s="41">
        <f t="shared" si="7"/>
        <v>197.64999999999998</v>
      </c>
      <c r="H257" s="41">
        <f t="shared" si="7"/>
        <v>1134.97</v>
      </c>
      <c r="I257" s="41">
        <f t="shared" si="7"/>
        <v>2906.62</v>
      </c>
      <c r="J257" s="41">
        <f t="shared" si="7"/>
        <v>0</v>
      </c>
      <c r="K257" s="41">
        <f t="shared" si="7"/>
        <v>367</v>
      </c>
      <c r="L257" s="41">
        <f>SUM(F257:K257)</f>
        <v>7106.24</v>
      </c>
      <c r="M257" s="8"/>
      <c r="N257" s="266"/>
    </row>
    <row r="258" spans="1:14" s="3" customFormat="1" ht="12.2" customHeight="1" thickTop="1" x14ac:dyDescent="0.15">
      <c r="A258" s="38" t="s">
        <v>462</v>
      </c>
      <c r="B258" s="40">
        <v>10</v>
      </c>
      <c r="C258" s="40">
        <v>8</v>
      </c>
      <c r="D258" s="39" t="s">
        <v>431</v>
      </c>
      <c r="E258" s="40"/>
      <c r="F258" s="41">
        <f t="shared" ref="F258:L258" si="8">F212+F230+F248+F257</f>
        <v>794460.09</v>
      </c>
      <c r="G258" s="41">
        <f t="shared" si="8"/>
        <v>373317.15</v>
      </c>
      <c r="H258" s="41">
        <f t="shared" si="8"/>
        <v>1968568.4500000002</v>
      </c>
      <c r="I258" s="41">
        <f t="shared" si="8"/>
        <v>114617.84</v>
      </c>
      <c r="J258" s="41">
        <f t="shared" si="8"/>
        <v>29014.81</v>
      </c>
      <c r="K258" s="41">
        <f t="shared" si="8"/>
        <v>6372.42</v>
      </c>
      <c r="L258" s="41">
        <f t="shared" si="8"/>
        <v>3286350.7600000002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99000</v>
      </c>
      <c r="L261" s="19">
        <f>SUM(F261:K261)</f>
        <v>99000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4950</v>
      </c>
      <c r="L262" s="19">
        <f>SUM(F262:K262)</f>
        <v>4950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11000</v>
      </c>
      <c r="L267" s="19">
        <f t="shared" si="9"/>
        <v>11000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7300</v>
      </c>
      <c r="L269" s="19">
        <f t="shared" si="9"/>
        <v>7300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122250</v>
      </c>
      <c r="L271" s="41">
        <f t="shared" si="9"/>
        <v>122250</v>
      </c>
      <c r="M271" s="8"/>
      <c r="N271" s="266"/>
    </row>
    <row r="272" spans="1:14" s="34" customFormat="1" ht="12.2" customHeight="1" thickTop="1" x14ac:dyDescent="0.2">
      <c r="A272" s="43" t="s">
        <v>464</v>
      </c>
      <c r="B272" s="40">
        <v>10</v>
      </c>
      <c r="C272" s="40">
        <v>18</v>
      </c>
      <c r="D272" s="39" t="s">
        <v>431</v>
      </c>
      <c r="E272" s="40"/>
      <c r="F272" s="42">
        <f t="shared" ref="F272:L272" si="11">F258+F271</f>
        <v>794460.09</v>
      </c>
      <c r="G272" s="42">
        <f t="shared" si="11"/>
        <v>373317.15</v>
      </c>
      <c r="H272" s="42">
        <f t="shared" si="11"/>
        <v>1968568.4500000002</v>
      </c>
      <c r="I272" s="42">
        <f t="shared" si="11"/>
        <v>114617.84</v>
      </c>
      <c r="J272" s="42">
        <f t="shared" si="11"/>
        <v>29014.81</v>
      </c>
      <c r="K272" s="42">
        <f t="shared" si="11"/>
        <v>128622.42</v>
      </c>
      <c r="L272" s="42">
        <f t="shared" si="11"/>
        <v>3408600.7600000002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62423.79</v>
      </c>
      <c r="G277" s="18">
        <v>14293.06</v>
      </c>
      <c r="H277" s="18">
        <v>0</v>
      </c>
      <c r="I277" s="18">
        <v>4547.5</v>
      </c>
      <c r="J277" s="18">
        <v>21170.77</v>
      </c>
      <c r="K277" s="18"/>
      <c r="L277" s="19">
        <f>SUM(F277:K277)</f>
        <v>102435.12000000001</v>
      </c>
      <c r="M277" s="8"/>
      <c r="N277" s="266"/>
    </row>
    <row r="278" spans="1:14" s="3" customFormat="1" ht="12.2" customHeight="1" x14ac:dyDescent="0.15">
      <c r="A278" s="1" t="s">
        <v>439</v>
      </c>
      <c r="B278" s="2" t="s">
        <v>357</v>
      </c>
      <c r="C278" s="2" t="s">
        <v>291</v>
      </c>
      <c r="D278" s="2" t="s">
        <v>431</v>
      </c>
      <c r="E278" s="6">
        <v>1200</v>
      </c>
      <c r="F278" s="18">
        <v>7440</v>
      </c>
      <c r="G278" s="18">
        <v>569.16</v>
      </c>
      <c r="H278" s="18">
        <v>0</v>
      </c>
      <c r="I278" s="18">
        <v>566.20000000000005</v>
      </c>
      <c r="J278" s="18">
        <v>2446.9699999999998</v>
      </c>
      <c r="K278" s="18">
        <v>23201.88</v>
      </c>
      <c r="L278" s="19">
        <f>SUM(F278:K278)</f>
        <v>34224.21</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0</v>
      </c>
      <c r="G280" s="18">
        <v>0</v>
      </c>
      <c r="H280" s="18">
        <v>2400</v>
      </c>
      <c r="I280" s="18">
        <v>726.18</v>
      </c>
      <c r="J280" s="18"/>
      <c r="K280" s="18"/>
      <c r="L280" s="19">
        <f>SUM(F280:K280)</f>
        <v>3126.18</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0</v>
      </c>
      <c r="G282" s="18">
        <v>0</v>
      </c>
      <c r="H282" s="18">
        <v>30239.5</v>
      </c>
      <c r="I282" s="18"/>
      <c r="J282" s="18"/>
      <c r="K282" s="18"/>
      <c r="L282" s="19">
        <f t="shared" ref="L282:L288" si="12">SUM(F282:K282)</f>
        <v>30239.5</v>
      </c>
      <c r="M282" s="8"/>
      <c r="N282" s="266"/>
    </row>
    <row r="283" spans="1:14" s="3" customFormat="1" ht="12.2" customHeight="1" x14ac:dyDescent="0.15">
      <c r="A283" s="1" t="s">
        <v>443</v>
      </c>
      <c r="B283" s="2" t="s">
        <v>357</v>
      </c>
      <c r="C283" s="2" t="s">
        <v>295</v>
      </c>
      <c r="D283" s="2" t="s">
        <v>431</v>
      </c>
      <c r="E283" s="6">
        <v>2200</v>
      </c>
      <c r="F283" s="18">
        <v>0</v>
      </c>
      <c r="G283" s="18">
        <v>0</v>
      </c>
      <c r="H283" s="18">
        <v>950</v>
      </c>
      <c r="I283" s="18">
        <v>0</v>
      </c>
      <c r="J283" s="18">
        <v>3228</v>
      </c>
      <c r="K283" s="18"/>
      <c r="L283" s="19">
        <f t="shared" si="12"/>
        <v>4178</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v>3000</v>
      </c>
      <c r="G285" s="18">
        <v>686.54</v>
      </c>
      <c r="H285" s="18"/>
      <c r="I285" s="18"/>
      <c r="J285" s="18"/>
      <c r="K285" s="18"/>
      <c r="L285" s="19">
        <f t="shared" si="12"/>
        <v>3686.54</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v>2000</v>
      </c>
      <c r="G287" s="18">
        <v>371.01</v>
      </c>
      <c r="H287" s="18">
        <v>0</v>
      </c>
      <c r="I287" s="18">
        <v>3134.71</v>
      </c>
      <c r="J287" s="18">
        <v>16976.38</v>
      </c>
      <c r="K287" s="18"/>
      <c r="L287" s="19">
        <f t="shared" si="12"/>
        <v>22482.100000000002</v>
      </c>
      <c r="M287" s="8"/>
      <c r="N287" s="266"/>
    </row>
    <row r="288" spans="1:14" s="3" customFormat="1" ht="12.2" customHeight="1" x14ac:dyDescent="0.15">
      <c r="A288" s="1" t="s">
        <v>448</v>
      </c>
      <c r="B288" s="2" t="s">
        <v>357</v>
      </c>
      <c r="C288" s="2" t="s">
        <v>300</v>
      </c>
      <c r="D288" s="2" t="s">
        <v>431</v>
      </c>
      <c r="E288" s="6">
        <v>2700</v>
      </c>
      <c r="F288" s="18">
        <v>0</v>
      </c>
      <c r="G288" s="18">
        <v>0</v>
      </c>
      <c r="H288" s="18">
        <v>5415.8</v>
      </c>
      <c r="I288" s="18"/>
      <c r="J288" s="18"/>
      <c r="K288" s="18"/>
      <c r="L288" s="19">
        <f t="shared" si="12"/>
        <v>5415.8</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74863.790000000008</v>
      </c>
      <c r="G291" s="42">
        <f t="shared" si="13"/>
        <v>15919.769999999999</v>
      </c>
      <c r="H291" s="42">
        <f t="shared" si="13"/>
        <v>39005.300000000003</v>
      </c>
      <c r="I291" s="42">
        <f t="shared" si="13"/>
        <v>8974.59</v>
      </c>
      <c r="J291" s="42">
        <f t="shared" si="13"/>
        <v>43822.12</v>
      </c>
      <c r="K291" s="42">
        <f t="shared" si="13"/>
        <v>23201.88</v>
      </c>
      <c r="L291" s="41">
        <f t="shared" si="13"/>
        <v>205787.45</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v>2700</v>
      </c>
      <c r="L296" s="19">
        <f>SUM(F296:K296)</f>
        <v>2700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v>1871.5</v>
      </c>
      <c r="I301" s="18"/>
      <c r="J301" s="18"/>
      <c r="K301" s="18"/>
      <c r="L301" s="19">
        <f t="shared" ref="L301:L307" si="14">SUM(F301:K301)</f>
        <v>1871.5</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1871.5</v>
      </c>
      <c r="I310" s="42">
        <f t="shared" si="15"/>
        <v>0</v>
      </c>
      <c r="J310" s="42">
        <f t="shared" si="15"/>
        <v>0</v>
      </c>
      <c r="K310" s="42">
        <f t="shared" si="15"/>
        <v>2700</v>
      </c>
      <c r="L310" s="41">
        <f t="shared" si="15"/>
        <v>4571.5</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v>6100</v>
      </c>
      <c r="L315" s="19">
        <f>SUM(F315:K315)</f>
        <v>6100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v>8471</v>
      </c>
      <c r="I320" s="18"/>
      <c r="J320" s="18"/>
      <c r="K320" s="18"/>
      <c r="L320" s="19">
        <f t="shared" ref="L320:L326" si="16">SUM(F320:K320)</f>
        <v>8471</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8471</v>
      </c>
      <c r="I329" s="42">
        <f t="shared" si="17"/>
        <v>0</v>
      </c>
      <c r="J329" s="42">
        <f t="shared" si="17"/>
        <v>0</v>
      </c>
      <c r="K329" s="42">
        <f t="shared" si="17"/>
        <v>6100</v>
      </c>
      <c r="L329" s="41">
        <f t="shared" si="17"/>
        <v>14571</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v>250</v>
      </c>
      <c r="L336" s="19">
        <f t="shared" si="18"/>
        <v>250</v>
      </c>
      <c r="M336" s="8"/>
      <c r="N336" s="266"/>
    </row>
    <row r="337" spans="1:43" s="3" customFormat="1" ht="12.2" customHeight="1" thickBot="1" x14ac:dyDescent="0.2">
      <c r="A337" s="1" t="s">
        <v>584</v>
      </c>
      <c r="B337" s="6">
        <v>14</v>
      </c>
      <c r="C337" s="37">
        <v>5</v>
      </c>
      <c r="D337" s="2" t="s">
        <v>431</v>
      </c>
      <c r="E337" s="6">
        <v>4000</v>
      </c>
      <c r="F337" s="18"/>
      <c r="G337" s="18"/>
      <c r="H337" s="18">
        <v>5776.5</v>
      </c>
      <c r="I337" s="18"/>
      <c r="J337" s="18"/>
      <c r="K337" s="18"/>
      <c r="L337" s="19">
        <f t="shared" si="18"/>
        <v>5776.5</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5776.5</v>
      </c>
      <c r="I338" s="41">
        <f t="shared" si="19"/>
        <v>0</v>
      </c>
      <c r="J338" s="41">
        <f t="shared" si="19"/>
        <v>0</v>
      </c>
      <c r="K338" s="41">
        <f t="shared" si="19"/>
        <v>250</v>
      </c>
      <c r="L338" s="41">
        <f t="shared" si="18"/>
        <v>6026.5</v>
      </c>
      <c r="M338" s="8"/>
      <c r="N338" s="266"/>
    </row>
    <row r="339" spans="1:43" s="3" customFormat="1" ht="12.2" customHeight="1" thickTop="1" x14ac:dyDescent="0.15">
      <c r="A339" s="38" t="s">
        <v>468</v>
      </c>
      <c r="B339" s="40">
        <v>14</v>
      </c>
      <c r="C339" s="40">
        <v>7</v>
      </c>
      <c r="D339" s="39" t="s">
        <v>431</v>
      </c>
      <c r="E339" s="40"/>
      <c r="F339" s="41">
        <f t="shared" ref="F339:L339" si="20">F291+F310+F329+F338</f>
        <v>74863.790000000008</v>
      </c>
      <c r="G339" s="41">
        <f t="shared" si="20"/>
        <v>15919.769999999999</v>
      </c>
      <c r="H339" s="41">
        <f t="shared" si="20"/>
        <v>55124.3</v>
      </c>
      <c r="I339" s="41">
        <f t="shared" si="20"/>
        <v>8974.59</v>
      </c>
      <c r="J339" s="41">
        <f t="shared" si="20"/>
        <v>43822.12</v>
      </c>
      <c r="K339" s="41">
        <f t="shared" si="20"/>
        <v>32251.88</v>
      </c>
      <c r="L339" s="41">
        <f t="shared" si="20"/>
        <v>230956.45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3357.63</v>
      </c>
      <c r="L351" s="19">
        <f t="shared" si="21"/>
        <v>3357.63</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3357.63</v>
      </c>
      <c r="L352" s="41">
        <f>SUM(L342:L351)</f>
        <v>3357.63</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74863.790000000008</v>
      </c>
      <c r="G353" s="41">
        <f>G339</f>
        <v>15919.769999999999</v>
      </c>
      <c r="H353" s="41">
        <f>H339</f>
        <v>55124.3</v>
      </c>
      <c r="I353" s="41">
        <f>I339</f>
        <v>8974.59</v>
      </c>
      <c r="J353" s="41">
        <f>J339</f>
        <v>43822.12</v>
      </c>
      <c r="K353" s="47">
        <f>K339+K352</f>
        <v>35609.51</v>
      </c>
      <c r="L353" s="41">
        <f>L339+L352</f>
        <v>234314.08000000002</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66050.490000000005</v>
      </c>
      <c r="I359" s="18">
        <v>5149.84</v>
      </c>
      <c r="J359" s="18"/>
      <c r="K359" s="18">
        <v>100</v>
      </c>
      <c r="L359" s="13">
        <f>SUM(F359:K359)</f>
        <v>71300.33</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66050.490000000005</v>
      </c>
      <c r="I363" s="47">
        <f t="shared" si="22"/>
        <v>5149.84</v>
      </c>
      <c r="J363" s="47">
        <f t="shared" si="22"/>
        <v>0</v>
      </c>
      <c r="K363" s="47">
        <f t="shared" si="22"/>
        <v>100</v>
      </c>
      <c r="L363" s="47">
        <f t="shared" si="22"/>
        <v>71300.33</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3704.17</v>
      </c>
      <c r="G368" s="18"/>
      <c r="H368" s="18"/>
      <c r="I368" s="56">
        <f>SUM(F368:H368)</f>
        <v>3704.17</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1445.67</v>
      </c>
      <c r="G369" s="63"/>
      <c r="H369" s="63"/>
      <c r="I369" s="56">
        <f>SUM(F369:H369)</f>
        <v>1445.67</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5149.84</v>
      </c>
      <c r="G370" s="47">
        <f>SUM(G368:G369)</f>
        <v>0</v>
      </c>
      <c r="H370" s="47">
        <f>SUM(H368:H369)</f>
        <v>0</v>
      </c>
      <c r="I370" s="47">
        <f>SUM(I368:I369)</f>
        <v>5149.84</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v>53603.54</v>
      </c>
      <c r="I376" s="18"/>
      <c r="J376" s="18"/>
      <c r="K376" s="18"/>
      <c r="L376" s="13">
        <f t="shared" ref="L376:L382" si="23">SUM(F376:K376)</f>
        <v>53603.54</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v>18993</v>
      </c>
      <c r="I380" s="18"/>
      <c r="J380" s="18"/>
      <c r="K380" s="18"/>
      <c r="L380" s="13">
        <f t="shared" si="23"/>
        <v>18993</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72596.540000000008</v>
      </c>
      <c r="I383" s="41">
        <f t="shared" si="24"/>
        <v>0</v>
      </c>
      <c r="J383" s="47">
        <f t="shared" si="24"/>
        <v>0</v>
      </c>
      <c r="K383" s="47">
        <f t="shared" si="24"/>
        <v>0</v>
      </c>
      <c r="L383" s="47">
        <f t="shared" si="24"/>
        <v>72596.540000000008</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v>5000</v>
      </c>
      <c r="H390" s="18">
        <v>113.78</v>
      </c>
      <c r="I390" s="18"/>
      <c r="J390" s="24" t="s">
        <v>288</v>
      </c>
      <c r="K390" s="24" t="s">
        <v>288</v>
      </c>
      <c r="L390" s="56">
        <f t="shared" si="25"/>
        <v>5113.78</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v>6000</v>
      </c>
      <c r="H393" s="18">
        <v>34.97</v>
      </c>
      <c r="I393" s="18"/>
      <c r="J393" s="24" t="s">
        <v>288</v>
      </c>
      <c r="K393" s="24" t="s">
        <v>288</v>
      </c>
      <c r="L393" s="56">
        <f t="shared" si="25"/>
        <v>6034.97</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11000</v>
      </c>
      <c r="H394" s="139">
        <f>SUM(H388:H393)</f>
        <v>148.75</v>
      </c>
      <c r="I394" s="65">
        <f>SUM(I388:I393)</f>
        <v>0</v>
      </c>
      <c r="J394" s="45" t="s">
        <v>288</v>
      </c>
      <c r="K394" s="45" t="s">
        <v>288</v>
      </c>
      <c r="L394" s="47">
        <f>SUM(L388:L393)</f>
        <v>11148.75</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v>128.38999999999999</v>
      </c>
      <c r="I399" s="18"/>
      <c r="J399" s="24" t="s">
        <v>288</v>
      </c>
      <c r="K399" s="24" t="s">
        <v>288</v>
      </c>
      <c r="L399" s="56">
        <f t="shared" si="26"/>
        <v>128.38999999999999</v>
      </c>
      <c r="M399" s="8"/>
      <c r="N399" s="266"/>
    </row>
    <row r="400" spans="1:14" s="3" customFormat="1" ht="12.2" customHeight="1" x14ac:dyDescent="0.15">
      <c r="A400" s="79" t="s">
        <v>559</v>
      </c>
      <c r="B400" s="2" t="s">
        <v>381</v>
      </c>
      <c r="C400" s="6">
        <v>12</v>
      </c>
      <c r="D400" s="2" t="s">
        <v>432</v>
      </c>
      <c r="E400" s="6"/>
      <c r="F400" s="18"/>
      <c r="G400" s="18"/>
      <c r="H400" s="18">
        <v>11.88</v>
      </c>
      <c r="I400" s="18"/>
      <c r="J400" s="24" t="s">
        <v>288</v>
      </c>
      <c r="K400" s="24" t="s">
        <v>288</v>
      </c>
      <c r="L400" s="56">
        <f t="shared" si="26"/>
        <v>11.88</v>
      </c>
      <c r="M400" s="8"/>
      <c r="N400" s="266"/>
    </row>
    <row r="401" spans="1:21" s="3" customFormat="1" ht="12.2" customHeight="1" thickBot="1" x14ac:dyDescent="0.2">
      <c r="A401" s="79" t="s">
        <v>510</v>
      </c>
      <c r="B401" s="2" t="s">
        <v>381</v>
      </c>
      <c r="C401" s="6">
        <v>13</v>
      </c>
      <c r="D401" s="2" t="s">
        <v>432</v>
      </c>
      <c r="E401" s="6"/>
      <c r="F401" s="18"/>
      <c r="G401" s="18"/>
      <c r="H401" s="18">
        <v>7.52</v>
      </c>
      <c r="I401" s="18"/>
      <c r="J401" s="24" t="s">
        <v>288</v>
      </c>
      <c r="K401" s="24" t="s">
        <v>288</v>
      </c>
      <c r="L401" s="56">
        <f t="shared" si="26"/>
        <v>7.52</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147.79</v>
      </c>
      <c r="I402" s="47">
        <f>SUM(I396:I401)</f>
        <v>0</v>
      </c>
      <c r="J402" s="45" t="s">
        <v>288</v>
      </c>
      <c r="K402" s="45" t="s">
        <v>288</v>
      </c>
      <c r="L402" s="47">
        <f>SUM(L396:L401)</f>
        <v>147.79</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11000</v>
      </c>
      <c r="H409" s="47">
        <f>H394+H402+H408</f>
        <v>296.53999999999996</v>
      </c>
      <c r="I409" s="47">
        <f>I394+I402+I408</f>
        <v>0</v>
      </c>
      <c r="J409" s="24" t="s">
        <v>288</v>
      </c>
      <c r="K409" s="24" t="s">
        <v>288</v>
      </c>
      <c r="L409" s="47">
        <f>L394+L402+L408</f>
        <v>11296.54</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v>72596.539999999994</v>
      </c>
      <c r="L416" s="56">
        <f t="shared" si="27"/>
        <v>72596.539999999994</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v>812.9</v>
      </c>
      <c r="I419" s="18"/>
      <c r="J419" s="18"/>
      <c r="K419" s="18"/>
      <c r="L419" s="56">
        <f t="shared" si="27"/>
        <v>812.9</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812.9</v>
      </c>
      <c r="I420" s="139">
        <f t="shared" si="28"/>
        <v>0</v>
      </c>
      <c r="J420" s="139">
        <f t="shared" si="28"/>
        <v>0</v>
      </c>
      <c r="K420" s="139">
        <f t="shared" si="28"/>
        <v>72596.539999999994</v>
      </c>
      <c r="L420" s="47">
        <f t="shared" si="28"/>
        <v>73409.439999999988</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812.9</v>
      </c>
      <c r="I435" s="47">
        <f t="shared" si="32"/>
        <v>0</v>
      </c>
      <c r="J435" s="47">
        <f t="shared" si="32"/>
        <v>0</v>
      </c>
      <c r="K435" s="47">
        <f t="shared" si="32"/>
        <v>72596.539999999994</v>
      </c>
      <c r="L435" s="47">
        <f t="shared" si="32"/>
        <v>73409.439999999988</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203410.7</v>
      </c>
      <c r="G441" s="18">
        <v>209791.49</v>
      </c>
      <c r="H441" s="18"/>
      <c r="I441" s="56">
        <f t="shared" si="33"/>
        <v>413202.19</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v>4880.8500000000004</v>
      </c>
      <c r="H442" s="18"/>
      <c r="I442" s="56">
        <f t="shared" si="33"/>
        <v>4880.8500000000004</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203410.7</v>
      </c>
      <c r="G447" s="13">
        <f>SUM(G440:G446)</f>
        <v>214672.34</v>
      </c>
      <c r="H447" s="13">
        <f>SUM(H440:H446)</f>
        <v>0</v>
      </c>
      <c r="I447" s="13">
        <f>SUM(I440:I446)</f>
        <v>418083.04</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v>72596.539999999994</v>
      </c>
      <c r="G450" s="18"/>
      <c r="H450" s="18"/>
      <c r="I450" s="56">
        <f>SUM(F450:H450)</f>
        <v>72596.539999999994</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72596.539999999994</v>
      </c>
      <c r="G453" s="72">
        <f>SUM(G449:G452)</f>
        <v>0</v>
      </c>
      <c r="H453" s="72">
        <f>SUM(H449:H452)</f>
        <v>0</v>
      </c>
      <c r="I453" s="72">
        <f>SUM(I449:I452)</f>
        <v>72596.539999999994</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130814.16</v>
      </c>
      <c r="G460" s="18">
        <v>214672.34</v>
      </c>
      <c r="H460" s="18"/>
      <c r="I460" s="56">
        <f t="shared" si="34"/>
        <v>345486.5</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130814.16</v>
      </c>
      <c r="G461" s="83">
        <f>SUM(G455:G460)</f>
        <v>214672.34</v>
      </c>
      <c r="H461" s="83">
        <f>SUM(H455:H460)</f>
        <v>0</v>
      </c>
      <c r="I461" s="83">
        <f>SUM(I455:I460)</f>
        <v>345486.5</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203410.7</v>
      </c>
      <c r="G462" s="42">
        <f>G453+G461</f>
        <v>214672.34</v>
      </c>
      <c r="H462" s="42">
        <f>H453+H461</f>
        <v>0</v>
      </c>
      <c r="I462" s="42">
        <f>I453+I461</f>
        <v>418083.04</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126722.55</v>
      </c>
      <c r="G466" s="18">
        <v>7133.55</v>
      </c>
      <c r="H466" s="18">
        <v>0</v>
      </c>
      <c r="I466" s="18">
        <v>0</v>
      </c>
      <c r="J466" s="18">
        <v>407599.4</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3596613.1</v>
      </c>
      <c r="G469" s="18">
        <v>65840.22</v>
      </c>
      <c r="H469" s="18">
        <v>234314.08</v>
      </c>
      <c r="I469" s="18">
        <v>72596.539999999994</v>
      </c>
      <c r="J469" s="18">
        <v>11296.54</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3596613.1</v>
      </c>
      <c r="G471" s="53">
        <f>SUM(G469:G470)</f>
        <v>65840.22</v>
      </c>
      <c r="H471" s="53">
        <f>SUM(H469:H470)</f>
        <v>234314.08</v>
      </c>
      <c r="I471" s="53">
        <f>SUM(I469:I470)</f>
        <v>72596.539999999994</v>
      </c>
      <c r="J471" s="53">
        <f>SUM(J469:J470)</f>
        <v>11296.54</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3408600.76</v>
      </c>
      <c r="G473" s="18">
        <v>71300.33</v>
      </c>
      <c r="H473" s="18">
        <v>234314.08</v>
      </c>
      <c r="I473" s="18">
        <v>72596.539999999994</v>
      </c>
      <c r="J473" s="18">
        <v>73409.440000000002</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3408600.76</v>
      </c>
      <c r="G475" s="53">
        <f>SUM(G473:G474)</f>
        <v>71300.33</v>
      </c>
      <c r="H475" s="53">
        <f>SUM(H473:H474)</f>
        <v>234314.08</v>
      </c>
      <c r="I475" s="53">
        <f>SUM(I473:I474)</f>
        <v>72596.539999999994</v>
      </c>
      <c r="J475" s="53">
        <f>SUM(J473:J474)</f>
        <v>73409.440000000002</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314734.89000000013</v>
      </c>
      <c r="G477" s="53">
        <f>(G466+G471)- G475</f>
        <v>1673.4400000000023</v>
      </c>
      <c r="H477" s="53">
        <f>(H466+H471)- H475</f>
        <v>0</v>
      </c>
      <c r="I477" s="53">
        <f>(I466+I471)- I475</f>
        <v>0</v>
      </c>
      <c r="J477" s="53">
        <f>(J466+J471)- J475</f>
        <v>345486.5</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5</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1672</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1673</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495000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0.02</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297000</v>
      </c>
      <c r="G496" s="18"/>
      <c r="H496" s="18"/>
      <c r="I496" s="18"/>
      <c r="J496" s="18"/>
      <c r="K496" s="53">
        <f>SUM(F496:J496)</f>
        <v>297000</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99000</v>
      </c>
      <c r="G498" s="18"/>
      <c r="H498" s="18"/>
      <c r="I498" s="18"/>
      <c r="J498" s="18"/>
      <c r="K498" s="53">
        <f t="shared" si="35"/>
        <v>99000</v>
      </c>
      <c r="L498" s="24" t="s">
        <v>288</v>
      </c>
      <c r="N498" s="265"/>
    </row>
    <row r="499" spans="1:14" s="52" customFormat="1" ht="12.2" customHeight="1" x14ac:dyDescent="0.2">
      <c r="A499" s="200" t="s">
        <v>622</v>
      </c>
      <c r="B499" s="201">
        <v>20</v>
      </c>
      <c r="C499" s="202">
        <v>9</v>
      </c>
      <c r="D499" s="203" t="s">
        <v>432</v>
      </c>
      <c r="E499" s="202"/>
      <c r="F499" s="204">
        <f>F496-F498</f>
        <v>198000</v>
      </c>
      <c r="G499" s="204"/>
      <c r="H499" s="204"/>
      <c r="I499" s="204"/>
      <c r="J499" s="204"/>
      <c r="K499" s="205">
        <f t="shared" si="35"/>
        <v>198000</v>
      </c>
      <c r="L499" s="206" t="s">
        <v>288</v>
      </c>
      <c r="N499" s="265"/>
    </row>
    <row r="500" spans="1:14" s="52" customFormat="1" ht="12.2" customHeight="1" thickBot="1" x14ac:dyDescent="0.25">
      <c r="A500" s="22" t="s">
        <v>623</v>
      </c>
      <c r="B500" s="75">
        <v>20</v>
      </c>
      <c r="C500" s="115">
        <v>10</v>
      </c>
      <c r="D500" s="2" t="s">
        <v>432</v>
      </c>
      <c r="E500" s="115"/>
      <c r="F500" s="18">
        <v>3960</v>
      </c>
      <c r="G500" s="18"/>
      <c r="H500" s="18"/>
      <c r="I500" s="18"/>
      <c r="J500" s="18"/>
      <c r="K500" s="53">
        <f t="shared" si="35"/>
        <v>3960</v>
      </c>
      <c r="L500" s="24" t="s">
        <v>288</v>
      </c>
      <c r="N500" s="265"/>
    </row>
    <row r="501" spans="1:14" s="52" customFormat="1" ht="12.2" customHeight="1" thickTop="1" x14ac:dyDescent="0.2">
      <c r="A501" s="139" t="s">
        <v>624</v>
      </c>
      <c r="B501" s="44">
        <v>20</v>
      </c>
      <c r="C501" s="195">
        <v>11</v>
      </c>
      <c r="D501" s="39" t="s">
        <v>432</v>
      </c>
      <c r="E501" s="195"/>
      <c r="F501" s="42">
        <f>SUM(F499:F500)</f>
        <v>201960</v>
      </c>
      <c r="G501" s="42">
        <f>SUM(G499:G500)</f>
        <v>0</v>
      </c>
      <c r="H501" s="42">
        <f>SUM(H499:H500)</f>
        <v>0</v>
      </c>
      <c r="I501" s="42">
        <f>SUM(I499:I500)</f>
        <v>0</v>
      </c>
      <c r="J501" s="42">
        <f>SUM(J499:J500)</f>
        <v>0</v>
      </c>
      <c r="K501" s="42">
        <f t="shared" si="35"/>
        <v>201960</v>
      </c>
      <c r="L501" s="45" t="s">
        <v>288</v>
      </c>
      <c r="N501" s="265"/>
    </row>
    <row r="502" spans="1:14" s="52" customFormat="1" ht="12.2" customHeight="1" x14ac:dyDescent="0.2">
      <c r="A502" s="200" t="s">
        <v>651</v>
      </c>
      <c r="B502" s="201">
        <v>20</v>
      </c>
      <c r="C502" s="202">
        <v>12</v>
      </c>
      <c r="D502" s="203" t="s">
        <v>432</v>
      </c>
      <c r="E502" s="202"/>
      <c r="F502" s="204">
        <v>99000</v>
      </c>
      <c r="G502" s="204"/>
      <c r="H502" s="204"/>
      <c r="I502" s="204"/>
      <c r="J502" s="204"/>
      <c r="K502" s="205">
        <f t="shared" si="35"/>
        <v>99000</v>
      </c>
      <c r="L502" s="206" t="s">
        <v>288</v>
      </c>
      <c r="N502" s="265"/>
    </row>
    <row r="503" spans="1:14" s="52" customFormat="1" ht="12.2" customHeight="1" thickBot="1" x14ac:dyDescent="0.25">
      <c r="A503" s="22" t="s">
        <v>625</v>
      </c>
      <c r="B503" s="75">
        <v>20</v>
      </c>
      <c r="C503" s="115">
        <v>13</v>
      </c>
      <c r="D503" s="2" t="s">
        <v>432</v>
      </c>
      <c r="E503" s="115"/>
      <c r="F503" s="18">
        <v>2970</v>
      </c>
      <c r="G503" s="18"/>
      <c r="H503" s="18"/>
      <c r="I503" s="18"/>
      <c r="J503" s="18"/>
      <c r="K503" s="53">
        <f t="shared" si="35"/>
        <v>2970</v>
      </c>
      <c r="L503" s="24" t="s">
        <v>288</v>
      </c>
      <c r="N503" s="265"/>
    </row>
    <row r="504" spans="1:14" s="52" customFormat="1" ht="12.2" customHeight="1" thickTop="1" x14ac:dyDescent="0.2">
      <c r="A504" s="139" t="s">
        <v>626</v>
      </c>
      <c r="B504" s="44">
        <v>20</v>
      </c>
      <c r="C504" s="195">
        <v>14</v>
      </c>
      <c r="D504" s="39" t="s">
        <v>432</v>
      </c>
      <c r="E504" s="195"/>
      <c r="F504" s="42">
        <f>SUM(F502:F503)</f>
        <v>101970</v>
      </c>
      <c r="G504" s="42">
        <f>SUM(G502:G503)</f>
        <v>0</v>
      </c>
      <c r="H504" s="42">
        <f>SUM(H502:H503)</f>
        <v>0</v>
      </c>
      <c r="I504" s="42">
        <f>SUM(I502:I503)</f>
        <v>0</v>
      </c>
      <c r="J504" s="42">
        <f>SUM(J502:J503)</f>
        <v>0</v>
      </c>
      <c r="K504" s="42">
        <f t="shared" si="35"/>
        <v>101970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v>9355</v>
      </c>
      <c r="G508" s="144"/>
      <c r="H508" s="144">
        <v>313</v>
      </c>
      <c r="I508" s="144">
        <f>F508-H508</f>
        <v>9042</v>
      </c>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v>33000</v>
      </c>
      <c r="G512" s="24" t="s">
        <v>288</v>
      </c>
      <c r="H512" s="18">
        <v>33000</v>
      </c>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v>3401941</v>
      </c>
      <c r="G514" s="24" t="s">
        <v>288</v>
      </c>
      <c r="H514" s="18">
        <v>3354639</v>
      </c>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v>28382</v>
      </c>
      <c r="G515" s="24" t="s">
        <v>288</v>
      </c>
      <c r="H515" s="18">
        <v>42319</v>
      </c>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v>33785</v>
      </c>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3463323</v>
      </c>
      <c r="G518" s="42">
        <f>SUM(G512:G517)</f>
        <v>0</v>
      </c>
      <c r="H518" s="42">
        <f>SUM(H512:H517)</f>
        <v>3463743</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168770.31</v>
      </c>
      <c r="G522" s="18">
        <v>20898.29</v>
      </c>
      <c r="H522" s="18">
        <v>32891.620000000003</v>
      </c>
      <c r="I522" s="18">
        <v>1620.42</v>
      </c>
      <c r="J522" s="18">
        <v>2826.86</v>
      </c>
      <c r="K522" s="18">
        <v>23201.88</v>
      </c>
      <c r="L522" s="88">
        <f>SUM(F522:K522)</f>
        <v>250209.38</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v>63957.87</v>
      </c>
      <c r="I524" s="18"/>
      <c r="J524" s="18"/>
      <c r="K524" s="18"/>
      <c r="L524" s="88">
        <f>SUM(F524:K524)</f>
        <v>63957.87</v>
      </c>
      <c r="N524" s="265"/>
    </row>
    <row r="525" spans="1:14" s="52" customFormat="1" ht="12.2" customHeight="1" thickTop="1" x14ac:dyDescent="0.2">
      <c r="A525" s="139" t="s">
        <v>63</v>
      </c>
      <c r="B525" s="107">
        <v>21</v>
      </c>
      <c r="C525" s="195">
        <v>4</v>
      </c>
      <c r="D525" s="196" t="s">
        <v>432</v>
      </c>
      <c r="E525" s="195"/>
      <c r="F525" s="108">
        <f>SUM(F522:F524)</f>
        <v>168770.31</v>
      </c>
      <c r="G525" s="108">
        <f t="shared" ref="G525:L525" si="36">SUM(G522:G524)</f>
        <v>20898.29</v>
      </c>
      <c r="H525" s="108">
        <f t="shared" si="36"/>
        <v>96849.49</v>
      </c>
      <c r="I525" s="108">
        <f t="shared" si="36"/>
        <v>1620.42</v>
      </c>
      <c r="J525" s="108">
        <f t="shared" si="36"/>
        <v>2826.86</v>
      </c>
      <c r="K525" s="108">
        <f t="shared" si="36"/>
        <v>23201.88</v>
      </c>
      <c r="L525" s="89">
        <f t="shared" si="36"/>
        <v>314167.25</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32792</v>
      </c>
      <c r="G527" s="18">
        <v>2592.52</v>
      </c>
      <c r="H527" s="18">
        <v>110214.24</v>
      </c>
      <c r="I527" s="18">
        <v>519.16</v>
      </c>
      <c r="J527" s="18">
        <v>636.38</v>
      </c>
      <c r="K527" s="18"/>
      <c r="L527" s="88">
        <f>SUM(F527:K527)</f>
        <v>146754.30000000002</v>
      </c>
      <c r="M527" s="8"/>
      <c r="N527" s="266"/>
    </row>
    <row r="528" spans="1:14" s="3" customFormat="1" ht="12.2" customHeight="1" x14ac:dyDescent="0.15">
      <c r="A528" s="22" t="s">
        <v>634</v>
      </c>
      <c r="B528" s="105">
        <v>21</v>
      </c>
      <c r="C528" s="115">
        <v>6</v>
      </c>
      <c r="D528" s="2" t="s">
        <v>432</v>
      </c>
      <c r="E528" s="115"/>
      <c r="F528" s="18"/>
      <c r="G528" s="18"/>
      <c r="H528" s="18">
        <v>2194.0100000000002</v>
      </c>
      <c r="I528" s="18"/>
      <c r="J528" s="18"/>
      <c r="K528" s="18"/>
      <c r="L528" s="88">
        <f>SUM(F528:K528)</f>
        <v>2194.0100000000002</v>
      </c>
      <c r="M528" s="8"/>
      <c r="N528" s="266"/>
    </row>
    <row r="529" spans="1:14" s="3" customFormat="1" ht="12.2" customHeight="1" thickBot="1" x14ac:dyDescent="0.2">
      <c r="A529" s="22" t="s">
        <v>635</v>
      </c>
      <c r="B529" s="118">
        <v>21</v>
      </c>
      <c r="C529" s="118">
        <v>7</v>
      </c>
      <c r="D529" s="2" t="s">
        <v>432</v>
      </c>
      <c r="E529" s="118"/>
      <c r="F529" s="18"/>
      <c r="G529" s="18"/>
      <c r="H529" s="18">
        <v>13754.03</v>
      </c>
      <c r="I529" s="18"/>
      <c r="J529" s="18"/>
      <c r="K529" s="18"/>
      <c r="L529" s="88">
        <f>SUM(F529:K529)</f>
        <v>13754.03</v>
      </c>
      <c r="M529" s="8"/>
      <c r="N529" s="266"/>
    </row>
    <row r="530" spans="1:14" s="3" customFormat="1" ht="12.2" customHeight="1" thickTop="1" x14ac:dyDescent="0.15">
      <c r="A530" s="139" t="s">
        <v>65</v>
      </c>
      <c r="B530" s="107">
        <v>21</v>
      </c>
      <c r="C530" s="107">
        <v>8</v>
      </c>
      <c r="D530" s="158" t="s">
        <v>432</v>
      </c>
      <c r="E530" s="107"/>
      <c r="F530" s="89">
        <f>SUM(F527:F529)</f>
        <v>32792</v>
      </c>
      <c r="G530" s="89">
        <f t="shared" ref="G530:L530" si="37">SUM(G527:G529)</f>
        <v>2592.52</v>
      </c>
      <c r="H530" s="89">
        <f t="shared" si="37"/>
        <v>126162.28</v>
      </c>
      <c r="I530" s="89">
        <f t="shared" si="37"/>
        <v>519.16</v>
      </c>
      <c r="J530" s="89">
        <f t="shared" si="37"/>
        <v>636.38</v>
      </c>
      <c r="K530" s="89">
        <f t="shared" si="37"/>
        <v>0</v>
      </c>
      <c r="L530" s="89">
        <f t="shared" si="37"/>
        <v>162702.34000000003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10333.790000000001</v>
      </c>
      <c r="I532" s="18"/>
      <c r="J532" s="18"/>
      <c r="K532" s="18"/>
      <c r="L532" s="88">
        <f>SUM(F532:K532)</f>
        <v>10333.790000000001</v>
      </c>
      <c r="M532" s="8"/>
      <c r="N532" s="266"/>
    </row>
    <row r="533" spans="1:14" s="3" customFormat="1" ht="12.2" customHeight="1" x14ac:dyDescent="0.15">
      <c r="A533" s="22" t="s">
        <v>634</v>
      </c>
      <c r="B533" s="105">
        <v>21</v>
      </c>
      <c r="C533" s="105">
        <v>10</v>
      </c>
      <c r="D533" s="2" t="s">
        <v>432</v>
      </c>
      <c r="E533" s="105"/>
      <c r="F533" s="18"/>
      <c r="G533" s="18"/>
      <c r="H533" s="18">
        <v>2348.59</v>
      </c>
      <c r="I533" s="18"/>
      <c r="J533" s="18"/>
      <c r="K533" s="18"/>
      <c r="L533" s="88">
        <f>SUM(F533:K533)</f>
        <v>2348.59</v>
      </c>
      <c r="M533" s="8"/>
      <c r="N533" s="266"/>
    </row>
    <row r="534" spans="1:14" s="3" customFormat="1" ht="12.2" customHeight="1" thickBot="1" x14ac:dyDescent="0.2">
      <c r="A534" s="22" t="s">
        <v>635</v>
      </c>
      <c r="B534" s="105">
        <v>21</v>
      </c>
      <c r="C534" s="105">
        <v>11</v>
      </c>
      <c r="D534" s="2" t="s">
        <v>432</v>
      </c>
      <c r="E534" s="105"/>
      <c r="F534" s="18"/>
      <c r="G534" s="18"/>
      <c r="H534" s="18">
        <v>5636.62</v>
      </c>
      <c r="I534" s="18"/>
      <c r="J534" s="18"/>
      <c r="K534" s="18"/>
      <c r="L534" s="88">
        <f>SUM(F534:K534)</f>
        <v>5636.62</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18319</v>
      </c>
      <c r="I535" s="89">
        <f t="shared" si="38"/>
        <v>0</v>
      </c>
      <c r="J535" s="89">
        <f t="shared" si="38"/>
        <v>0</v>
      </c>
      <c r="K535" s="89">
        <f t="shared" si="38"/>
        <v>0</v>
      </c>
      <c r="L535" s="89">
        <f t="shared" si="38"/>
        <v>18319</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270</v>
      </c>
      <c r="I542" s="18"/>
      <c r="J542" s="18"/>
      <c r="K542" s="18"/>
      <c r="L542" s="88">
        <f>SUM(F542:K542)</f>
        <v>270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5260</v>
      </c>
      <c r="I544" s="18"/>
      <c r="J544" s="18"/>
      <c r="K544" s="18"/>
      <c r="L544" s="88">
        <f>SUM(F544:K544)</f>
        <v>5260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5530</v>
      </c>
      <c r="I545" s="193">
        <f t="shared" si="40"/>
        <v>0</v>
      </c>
      <c r="J545" s="193">
        <f t="shared" si="40"/>
        <v>0</v>
      </c>
      <c r="K545" s="193">
        <f t="shared" si="40"/>
        <v>0</v>
      </c>
      <c r="L545" s="193">
        <f t="shared" si="40"/>
        <v>5530</v>
      </c>
      <c r="M545" s="8"/>
      <c r="N545" s="266"/>
    </row>
    <row r="546" spans="1:14" s="3" customFormat="1" ht="12.2" customHeight="1" thickTop="1" x14ac:dyDescent="0.15">
      <c r="A546" s="98" t="s">
        <v>72</v>
      </c>
      <c r="B546" s="107">
        <v>21</v>
      </c>
      <c r="C546" s="107">
        <v>21</v>
      </c>
      <c r="D546" s="158" t="s">
        <v>432</v>
      </c>
      <c r="E546" s="107"/>
      <c r="F546" s="89">
        <f>F525+F530+F535+F540+F545</f>
        <v>201562.31</v>
      </c>
      <c r="G546" s="89">
        <f t="shared" ref="G546:L546" si="41">G525+G530+G535+G540+G545</f>
        <v>23490.81</v>
      </c>
      <c r="H546" s="89">
        <f t="shared" si="41"/>
        <v>246860.77000000002</v>
      </c>
      <c r="I546" s="89">
        <f t="shared" si="41"/>
        <v>2139.58</v>
      </c>
      <c r="J546" s="89">
        <f t="shared" si="41"/>
        <v>3463.2400000000002</v>
      </c>
      <c r="K546" s="89">
        <f t="shared" si="41"/>
        <v>23201.88</v>
      </c>
      <c r="L546" s="89">
        <f t="shared" si="41"/>
        <v>500718.59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250209.38</v>
      </c>
      <c r="G550" s="87">
        <f>L527</f>
        <v>146754.30000000002</v>
      </c>
      <c r="H550" s="87">
        <f>L532</f>
        <v>10333.790000000001</v>
      </c>
      <c r="I550" s="87">
        <f>L537</f>
        <v>0</v>
      </c>
      <c r="J550" s="87">
        <f>L542</f>
        <v>270</v>
      </c>
      <c r="K550" s="87">
        <f>SUM(F550:J550)</f>
        <v>407567.47000000003</v>
      </c>
      <c r="L550" s="24" t="s">
        <v>288</v>
      </c>
      <c r="M550" s="8"/>
      <c r="N550" s="266"/>
    </row>
    <row r="551" spans="1:14" s="3" customFormat="1" ht="12.2" customHeight="1" x14ac:dyDescent="0.15">
      <c r="A551" s="22" t="s">
        <v>634</v>
      </c>
      <c r="B551" s="75">
        <v>21</v>
      </c>
      <c r="C551" s="75">
        <v>23</v>
      </c>
      <c r="D551" s="2" t="s">
        <v>432</v>
      </c>
      <c r="E551" s="75"/>
      <c r="F551" s="87">
        <f>L523</f>
        <v>0</v>
      </c>
      <c r="G551" s="87">
        <f>L528</f>
        <v>2194.0100000000002</v>
      </c>
      <c r="H551" s="87">
        <f>L533</f>
        <v>2348.59</v>
      </c>
      <c r="I551" s="87">
        <f>L538</f>
        <v>0</v>
      </c>
      <c r="J551" s="87">
        <f>L543</f>
        <v>0</v>
      </c>
      <c r="K551" s="87">
        <f>SUM(F551:J551)</f>
        <v>4542.6000000000004</v>
      </c>
      <c r="L551" s="24" t="s">
        <v>288</v>
      </c>
      <c r="M551" s="8"/>
      <c r="N551" s="266"/>
    </row>
    <row r="552" spans="1:14" s="3" customFormat="1" ht="12.2" customHeight="1" thickBot="1" x14ac:dyDescent="0.2">
      <c r="A552" s="22" t="s">
        <v>635</v>
      </c>
      <c r="B552" s="75">
        <v>21</v>
      </c>
      <c r="C552" s="75">
        <v>24</v>
      </c>
      <c r="D552" s="2" t="s">
        <v>432</v>
      </c>
      <c r="E552" s="75"/>
      <c r="F552" s="87">
        <f>L524</f>
        <v>63957.87</v>
      </c>
      <c r="G552" s="87">
        <f>L529</f>
        <v>13754.03</v>
      </c>
      <c r="H552" s="87">
        <f>L534</f>
        <v>5636.62</v>
      </c>
      <c r="I552" s="87">
        <f>L539</f>
        <v>0</v>
      </c>
      <c r="J552" s="87">
        <f>L544</f>
        <v>5260</v>
      </c>
      <c r="K552" s="87">
        <f>SUM(F552:J552)</f>
        <v>88608.52</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314167.25</v>
      </c>
      <c r="G553" s="89">
        <f t="shared" si="42"/>
        <v>162702.34000000003</v>
      </c>
      <c r="H553" s="89">
        <f t="shared" si="42"/>
        <v>18319</v>
      </c>
      <c r="I553" s="89">
        <f t="shared" si="42"/>
        <v>0</v>
      </c>
      <c r="J553" s="89">
        <f t="shared" si="42"/>
        <v>5530</v>
      </c>
      <c r="K553" s="89">
        <f t="shared" si="42"/>
        <v>500718.59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v>50.4</v>
      </c>
      <c r="I563" s="18"/>
      <c r="J563" s="18"/>
      <c r="K563" s="18"/>
      <c r="L563" s="88">
        <f>SUM(F563:K563)</f>
        <v>50.4</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50.4</v>
      </c>
      <c r="I566" s="89">
        <f t="shared" si="44"/>
        <v>0</v>
      </c>
      <c r="J566" s="89">
        <f t="shared" si="44"/>
        <v>0</v>
      </c>
      <c r="K566" s="89">
        <f t="shared" si="44"/>
        <v>0</v>
      </c>
      <c r="L566" s="89">
        <f t="shared" si="44"/>
        <v>50.4</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50.4</v>
      </c>
      <c r="I572" s="89">
        <f t="shared" si="46"/>
        <v>0</v>
      </c>
      <c r="J572" s="89">
        <f t="shared" si="46"/>
        <v>0</v>
      </c>
      <c r="K572" s="89">
        <f t="shared" si="46"/>
        <v>0</v>
      </c>
      <c r="L572" s="89">
        <f t="shared" si="46"/>
        <v>50.4</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v>342309.77</v>
      </c>
      <c r="H576" s="18">
        <v>1015083.8</v>
      </c>
      <c r="I576" s="87">
        <f>SUM(F576:H576)</f>
        <v>1357393.57</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v>36300.6</v>
      </c>
      <c r="I579" s="87">
        <f t="shared" si="47"/>
        <v>36300.6</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106947.84</v>
      </c>
      <c r="I592" s="18">
        <v>29220.23</v>
      </c>
      <c r="J592" s="18">
        <v>72569.350000000006</v>
      </c>
      <c r="K592" s="104">
        <f t="shared" ref="K592:K598" si="48">SUM(H592:J592)</f>
        <v>208737.42</v>
      </c>
      <c r="L592" s="24" t="s">
        <v>288</v>
      </c>
      <c r="M592" s="8"/>
      <c r="N592" s="266"/>
    </row>
    <row r="593" spans="1:14" s="3" customFormat="1" ht="12.2" customHeight="1" x14ac:dyDescent="0.15">
      <c r="A593" s="3" t="s">
        <v>638</v>
      </c>
      <c r="B593" s="75">
        <v>23</v>
      </c>
      <c r="C593" s="75">
        <v>2</v>
      </c>
      <c r="D593" s="2" t="s">
        <v>432</v>
      </c>
      <c r="E593" s="75"/>
      <c r="F593" s="102">
        <v>2722</v>
      </c>
      <c r="G593" s="103" t="s">
        <v>97</v>
      </c>
      <c r="H593" s="18">
        <v>270</v>
      </c>
      <c r="I593" s="18"/>
      <c r="J593" s="18">
        <v>5260</v>
      </c>
      <c r="K593" s="104">
        <f t="shared" si="48"/>
        <v>5530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4200</v>
      </c>
      <c r="K594" s="104">
        <f t="shared" si="48"/>
        <v>4200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107217.84</v>
      </c>
      <c r="I599" s="108">
        <f>SUM(I592:I598)</f>
        <v>29220.23</v>
      </c>
      <c r="J599" s="108">
        <f>SUM(J592:J598)</f>
        <v>82029.350000000006</v>
      </c>
      <c r="K599" s="108">
        <f>SUM(K592:K598)</f>
        <v>218467.42</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72836.929999999993</v>
      </c>
      <c r="I605" s="18"/>
      <c r="J605" s="18"/>
      <c r="K605" s="104">
        <f>SUM(H605:J605)</f>
        <v>72836.929999999993</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72836.929999999993</v>
      </c>
      <c r="I606" s="108">
        <f>SUM(I603:I605)</f>
        <v>0</v>
      </c>
      <c r="J606" s="108">
        <f>SUM(J603:J605)</f>
        <v>0</v>
      </c>
      <c r="K606" s="108">
        <f>SUM(K603:K605)</f>
        <v>72836.929999999993</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4018.54</v>
      </c>
      <c r="G612" s="18">
        <v>796.97</v>
      </c>
      <c r="H612" s="18"/>
      <c r="I612" s="18">
        <v>726.18</v>
      </c>
      <c r="J612" s="18"/>
      <c r="K612" s="18"/>
      <c r="L612" s="88">
        <f>SUM(F612:K612)</f>
        <v>5541.6900000000005</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4018.54</v>
      </c>
      <c r="G615" s="108">
        <f t="shared" si="49"/>
        <v>796.97</v>
      </c>
      <c r="H615" s="108">
        <f t="shared" si="49"/>
        <v>0</v>
      </c>
      <c r="I615" s="108">
        <f t="shared" si="49"/>
        <v>726.18</v>
      </c>
      <c r="J615" s="108">
        <f t="shared" si="49"/>
        <v>0</v>
      </c>
      <c r="K615" s="108">
        <f t="shared" si="49"/>
        <v>0</v>
      </c>
      <c r="L615" s="89">
        <f t="shared" si="49"/>
        <v>5541.6900000000005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333923.95999999996</v>
      </c>
      <c r="H618" s="109">
        <f>SUM(F52)</f>
        <v>333923.96000000002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22019.129999999997</v>
      </c>
      <c r="H619" s="109">
        <f>SUM(G52)</f>
        <v>22019.13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116754.32</v>
      </c>
      <c r="H620" s="109">
        <f>SUM(H52)</f>
        <v>116754.32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72596.539999999994</v>
      </c>
      <c r="H621" s="109">
        <f>SUM(I52)</f>
        <v>72596.539999999994</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418083.04</v>
      </c>
      <c r="H622" s="109">
        <f>SUM(J52)</f>
        <v>418083.04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314734.89</v>
      </c>
      <c r="H623" s="109">
        <f>F477</f>
        <v>314734.89000000013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1673.44</v>
      </c>
      <c r="H624" s="109">
        <f>G477</f>
        <v>1673.4400000000023</v>
      </c>
      <c r="I624" s="121" t="s">
        <v>102</v>
      </c>
      <c r="J624" s="109">
        <f t="shared" si="50"/>
        <v>-2.2737367544323206E-12</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345486.5</v>
      </c>
      <c r="H627" s="109">
        <f>J477</f>
        <v>345486.5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3596613.1</v>
      </c>
      <c r="H628" s="104">
        <f>SUM(F469)</f>
        <v>3596613.1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65840.22</v>
      </c>
      <c r="H629" s="104">
        <f>SUM(G469)</f>
        <v>65840.22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234314.08000000002</v>
      </c>
      <c r="H630" s="104">
        <f>SUM(H469)</f>
        <v>234314.08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72596.539999999994</v>
      </c>
      <c r="H631" s="104">
        <f>SUM(I469)</f>
        <v>72596.539999999994</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11296.54</v>
      </c>
      <c r="H632" s="104">
        <f>SUM(J469)</f>
        <v>11296.54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3408600.7600000002</v>
      </c>
      <c r="H633" s="104">
        <f>SUM(F473)</f>
        <v>3408600.76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234314.08000000002</v>
      </c>
      <c r="H634" s="104">
        <f>SUM(H473)</f>
        <v>234314.08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5149.84</v>
      </c>
      <c r="H635" s="104">
        <f>I370</f>
        <v>5149.84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71300.33</v>
      </c>
      <c r="H636" s="104">
        <f>SUM(G473)</f>
        <v>71300.33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72596.540000000008</v>
      </c>
      <c r="H637" s="104">
        <f>SUM(I473)</f>
        <v>72596.539999999994</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11296.54</v>
      </c>
      <c r="H638" s="164">
        <f>SUM(J469)</f>
        <v>11296.54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73409.439999999988</v>
      </c>
      <c r="H639" s="164">
        <f>SUM(J473)</f>
        <v>73409.440000000002</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203410.7</v>
      </c>
      <c r="H640" s="104">
        <f>SUM(F462)</f>
        <v>203410.7</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214672.34</v>
      </c>
      <c r="H641" s="104">
        <f>SUM(G462)</f>
        <v>214672.34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418083.04</v>
      </c>
      <c r="H643" s="104">
        <f>SUM(I462)</f>
        <v>418083.04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296.54000000000002</v>
      </c>
      <c r="H645" s="104">
        <f>H409</f>
        <v>296.53999999999996</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11000</v>
      </c>
      <c r="H646" s="104">
        <f>G409</f>
        <v>11000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11296.54</v>
      </c>
      <c r="H647" s="104">
        <f>L409</f>
        <v>11296.54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218467.42</v>
      </c>
      <c r="H648" s="104">
        <f>L209+L227+L245</f>
        <v>218467.41999999998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72836.929999999993</v>
      </c>
      <c r="H649" s="104">
        <f>(J258+J339)-(J256+J337)</f>
        <v>72836.930000000008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107217.84208878245</v>
      </c>
      <c r="H650" s="104">
        <f>H599</f>
        <v>107217.84</v>
      </c>
      <c r="I650" s="140" t="s">
        <v>388</v>
      </c>
      <c r="J650" s="109">
        <f t="shared" si="50"/>
        <v>2.0887824503006414E-3</v>
      </c>
      <c r="K650" s="85"/>
      <c r="L650" s="88"/>
      <c r="M650" s="8"/>
    </row>
    <row r="651" spans="1:13" s="3" customFormat="1" ht="12.2" customHeight="1" x14ac:dyDescent="0.15">
      <c r="A651" s="22"/>
      <c r="B651" s="105"/>
      <c r="C651" s="105"/>
      <c r="D651" s="105"/>
      <c r="E651" s="105"/>
      <c r="F651" s="120" t="s">
        <v>392</v>
      </c>
      <c r="G651" s="109">
        <f>L227</f>
        <v>29220.230572849508</v>
      </c>
      <c r="H651" s="104">
        <f>I599</f>
        <v>29220.23</v>
      </c>
      <c r="I651" s="140" t="s">
        <v>389</v>
      </c>
      <c r="J651" s="109">
        <f t="shared" si="50"/>
        <v>5.7284950889879838E-4</v>
      </c>
      <c r="K651" s="85"/>
      <c r="L651" s="88"/>
      <c r="M651" s="8"/>
    </row>
    <row r="652" spans="1:13" s="3" customFormat="1" ht="12.2" customHeight="1" x14ac:dyDescent="0.15">
      <c r="A652" s="22"/>
      <c r="B652" s="105"/>
      <c r="C652" s="105"/>
      <c r="D652" s="105"/>
      <c r="E652" s="105"/>
      <c r="F652" s="120" t="s">
        <v>393</v>
      </c>
      <c r="G652" s="109">
        <f>L245</f>
        <v>82029.347338368025</v>
      </c>
      <c r="H652" s="104">
        <f>J599</f>
        <v>82029.350000000006</v>
      </c>
      <c r="I652" s="140" t="s">
        <v>390</v>
      </c>
      <c r="J652" s="109">
        <f t="shared" si="50"/>
        <v>-2.6616319810273126E-3</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11000</v>
      </c>
      <c r="H656" s="104">
        <f>K267+K348</f>
        <v>11000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1942422.0212530643</v>
      </c>
      <c r="G661" s="19">
        <f>(L230+L310+L360)</f>
        <v>398155.90320307278</v>
      </c>
      <c r="H661" s="19">
        <f>(L248+L329+L361)</f>
        <v>1234896.875543863</v>
      </c>
      <c r="I661" s="19">
        <f>SUM(F661:H661)</f>
        <v>3575474.8000000003</v>
      </c>
      <c r="J661" s="13"/>
      <c r="K661" s="13"/>
      <c r="L661" s="13"/>
      <c r="M661" s="9"/>
    </row>
    <row r="662" spans="1:13" s="3" customFormat="1" ht="12.2" customHeight="1" x14ac:dyDescent="0.2">
      <c r="A662" s="1" t="s">
        <v>127</v>
      </c>
      <c r="F662" s="19">
        <f>(L359/IF(SUM(L359:L361)=0,1,SUM(L359:L361))*(SUM(G97:G110)))</f>
        <v>838.75</v>
      </c>
      <c r="G662" s="19">
        <f>(L360/IF(SUM(L359:L361)=0,1,SUM(L359:L361))*(SUM(G97:G110)))</f>
        <v>0</v>
      </c>
      <c r="H662" s="19">
        <f>(L361/IF(SUM(L359:L361)=0,1,SUM(L359:L361))*(SUM(G97:G110)))</f>
        <v>0</v>
      </c>
      <c r="I662" s="19">
        <f>SUM(F662:H662)</f>
        <v>838.75</v>
      </c>
      <c r="J662"/>
      <c r="K662" s="13"/>
      <c r="L662" s="13"/>
      <c r="M662" s="8"/>
    </row>
    <row r="663" spans="1:13" s="3" customFormat="1" ht="12.2" customHeight="1" x14ac:dyDescent="0.2">
      <c r="A663" s="1" t="s">
        <v>128</v>
      </c>
      <c r="F663" s="19">
        <f>(L209+L288)-(J209+J288)</f>
        <v>112633.64208878245</v>
      </c>
      <c r="G663" s="19">
        <f>(L227+L307)-(J227+J307)</f>
        <v>29220.230572849508</v>
      </c>
      <c r="H663" s="19">
        <f>(L245+L326)-(J245+J326)</f>
        <v>82029.347338368025</v>
      </c>
      <c r="I663" s="19">
        <f>SUM(F663:H663)</f>
        <v>223883.21999999997</v>
      </c>
      <c r="J663"/>
      <c r="K663" s="13"/>
      <c r="L663" s="13"/>
      <c r="M663" s="9"/>
    </row>
    <row r="664" spans="1:13" s="3" customFormat="1" ht="12.2" customHeight="1" x14ac:dyDescent="0.15">
      <c r="A664" s="198" t="s">
        <v>129</v>
      </c>
      <c r="B664" s="169"/>
      <c r="C664" s="169"/>
      <c r="D664" s="169"/>
      <c r="E664" s="169"/>
      <c r="F664" s="199">
        <f>SUM(F576:F588)+SUM(H603:H605)+SUM(L612)</f>
        <v>78378.62</v>
      </c>
      <c r="G664" s="199">
        <f>SUM(G576:G588)+SUM(I603:I605)+L613</f>
        <v>342309.77</v>
      </c>
      <c r="H664" s="199">
        <f>SUM(H576:H588)+SUM(J603:J605)+L614</f>
        <v>1051384.4000000001</v>
      </c>
      <c r="I664" s="19">
        <f>SUM(F664:H664)</f>
        <v>1472072.79</v>
      </c>
      <c r="J664" s="13"/>
      <c r="K664" s="13"/>
      <c r="L664" s="13"/>
      <c r="M664" s="9"/>
    </row>
    <row r="665" spans="1:13" s="3" customFormat="1" ht="12.2" customHeight="1" x14ac:dyDescent="0.15">
      <c r="A665" s="1" t="s">
        <v>130</v>
      </c>
      <c r="F665" s="19">
        <f>F661-SUM(F662:F664)</f>
        <v>1750571.0091642819</v>
      </c>
      <c r="G665" s="19">
        <f>G661-SUM(G662:G664)</f>
        <v>26625.902630223252</v>
      </c>
      <c r="H665" s="19">
        <f>H661-SUM(H662:H664)</f>
        <v>101483.12820549496</v>
      </c>
      <c r="I665" s="19">
        <f>I661-SUM(I662:I664)</f>
        <v>1878680.0400000003</v>
      </c>
      <c r="J665" s="13"/>
      <c r="K665" s="13"/>
      <c r="L665" s="13"/>
      <c r="M665" s="8"/>
    </row>
    <row r="666" spans="1:13" s="3" customFormat="1" ht="12.2" customHeight="1" x14ac:dyDescent="0.2">
      <c r="A666" s="1" t="s">
        <v>131</v>
      </c>
      <c r="F666" s="246">
        <v>94.38</v>
      </c>
      <c r="G666" s="247"/>
      <c r="H666" s="247"/>
      <c r="I666" s="19">
        <f>SUM(F666:H666)</f>
        <v>94.38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18548.11</v>
      </c>
      <c r="G668" s="19" t="e">
        <f>ROUND(G665/G666,2)</f>
        <v>#DIV/0!</v>
      </c>
      <c r="H668" s="19" t="e">
        <f>ROUND(H665/H666,2)</f>
        <v>#DIV/0!</v>
      </c>
      <c r="I668" s="19">
        <f>ROUND(I665/I666,2)</f>
        <v>19905.490000000002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-26625.9</v>
      </c>
      <c r="H670" s="18">
        <v>-101483.13</v>
      </c>
      <c r="I670" s="19">
        <f>SUM(F670:H670)</f>
        <v>-128109.03</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18548.11</v>
      </c>
      <c r="G673" s="19" t="e">
        <f>ROUND((G665+G670)/(G666+G671),2)</f>
        <v>#DIV/0!</v>
      </c>
      <c r="H673" s="19" t="e">
        <f>ROUND((H665+H670)/(H666+H671),2)</f>
        <v>#DIV/0!</v>
      </c>
      <c r="I673" s="19">
        <f>ROUND((I665+I670)/(I666+I671),2)</f>
        <v>18548.11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16" zoomScaleNormal="100" workbookViewId="0">
      <selection activeCell="C28" sqref="C28"/>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86070.22</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35600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72948.539999999994</v>
      </c>
      <c r="F22" s="348"/>
    </row>
    <row r="23" spans="2:8" x14ac:dyDescent="0.25">
      <c r="B23" s="348"/>
      <c r="C23" s="348"/>
      <c r="D23" s="348"/>
      <c r="E23" s="348"/>
      <c r="F23" s="348"/>
    </row>
    <row r="24" spans="2:8" ht="26.25" customHeight="1" x14ac:dyDescent="0.25">
      <c r="B24" s="348"/>
      <c r="C24" s="350" t="s">
        <v>1661</v>
      </c>
      <c r="D24" s="348"/>
      <c r="E24" s="343">
        <v>51640.480000000003</v>
      </c>
      <c r="F24" s="348"/>
    </row>
    <row r="25" spans="2:8" ht="18" x14ac:dyDescent="0.25">
      <c r="B25" s="348"/>
      <c r="C25" s="351"/>
      <c r="D25" s="348"/>
      <c r="E25" s="348"/>
      <c r="F25" s="348"/>
    </row>
    <row r="26" spans="2:8" ht="27.75" customHeight="1" x14ac:dyDescent="0.25">
      <c r="B26" s="348"/>
      <c r="C26" s="350" t="s">
        <v>1662</v>
      </c>
      <c r="D26" s="348"/>
      <c r="E26" s="343">
        <v>21308.06</v>
      </c>
      <c r="F26" s="348"/>
    </row>
    <row r="27" spans="2:8" x14ac:dyDescent="0.25">
      <c r="B27" s="348"/>
      <c r="C27" s="350"/>
      <c r="D27" s="348"/>
      <c r="E27" s="348"/>
      <c r="F27" s="348"/>
    </row>
    <row r="28" spans="2:8" ht="15.75" customHeight="1" x14ac:dyDescent="0.25">
      <c r="B28" s="348"/>
      <c r="C28" s="350" t="s">
        <v>1663</v>
      </c>
      <c r="D28" s="348"/>
      <c r="E28" s="344">
        <v>43114.07</v>
      </c>
      <c r="F28" s="348"/>
    </row>
    <row r="29" spans="2:8" x14ac:dyDescent="0.25">
      <c r="B29" s="348"/>
      <c r="C29" s="348"/>
      <c r="D29" s="348"/>
      <c r="E29" s="348"/>
      <c r="F29" s="348"/>
    </row>
    <row r="30" spans="2:8" ht="16.5" customHeight="1" x14ac:dyDescent="0.25">
      <c r="B30" s="348"/>
      <c r="C30" s="350" t="s">
        <v>1664</v>
      </c>
      <c r="D30" s="348"/>
      <c r="E30" s="343">
        <v>4037.58</v>
      </c>
      <c r="F30" s="348"/>
    </row>
    <row r="31" spans="2:8" x14ac:dyDescent="0.25">
      <c r="B31" s="348"/>
      <c r="C31" s="348"/>
      <c r="D31" s="348"/>
      <c r="E31" s="348"/>
      <c r="F31" s="348"/>
      <c r="H31" s="360" t="str">
        <f>IF(SUM(E7:E17)=(SUM(E22:E30)),"","Revenues and Expenditures do not match!!. Please correct.")</f>
        <v>Revenues and Expenditures do not match!!. Please correct.</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6"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3" t="str">
        <f>'DOE25'!A2</f>
        <v>Milan</v>
      </c>
      <c r="C5" s="364"/>
      <c r="D5" s="364"/>
      <c r="E5" s="364"/>
      <c r="F5" s="364"/>
    </row>
    <row r="8" spans="1:9" ht="18" x14ac:dyDescent="0.25">
      <c r="A8" s="319" t="s">
        <v>1576</v>
      </c>
      <c r="F8" s="326" t="s">
        <v>1594</v>
      </c>
    </row>
    <row r="9" spans="1:9" ht="15" x14ac:dyDescent="0.2">
      <c r="A9" s="317" t="s">
        <v>1577</v>
      </c>
      <c r="B9" s="320">
        <f>'DOE25'!G97</f>
        <v>838.75</v>
      </c>
      <c r="F9" s="317" t="s">
        <v>1590</v>
      </c>
    </row>
    <row r="10" spans="1:9" ht="15" x14ac:dyDescent="0.2">
      <c r="A10" s="317" t="s">
        <v>1578</v>
      </c>
      <c r="B10" s="320">
        <f>'DOE25'!G112-'DOE25'!G97</f>
        <v>0</v>
      </c>
      <c r="F10" s="317" t="s">
        <v>1591</v>
      </c>
    </row>
    <row r="11" spans="1:9" ht="15" x14ac:dyDescent="0.2">
      <c r="A11" s="317" t="s">
        <v>1579</v>
      </c>
      <c r="B11" s="320">
        <f>'DOE25'!G140</f>
        <v>991.09</v>
      </c>
      <c r="F11" s="317" t="s">
        <v>1592</v>
      </c>
    </row>
    <row r="12" spans="1:9" ht="15" x14ac:dyDescent="0.2">
      <c r="A12" s="317" t="s">
        <v>1580</v>
      </c>
      <c r="B12" s="320">
        <f>'DOE25'!G170</f>
        <v>64010.38</v>
      </c>
      <c r="F12" s="317" t="s">
        <v>1593</v>
      </c>
    </row>
    <row r="13" spans="1:9" ht="15" x14ac:dyDescent="0.2">
      <c r="A13" s="317" t="s">
        <v>1581</v>
      </c>
      <c r="B13" s="320">
        <f>'DOE25'!G193-'DOE25'!G180</f>
        <v>0</v>
      </c>
      <c r="F13" s="317" t="s">
        <v>1603</v>
      </c>
    </row>
    <row r="14" spans="1:9" ht="18" x14ac:dyDescent="0.25">
      <c r="A14" s="319" t="s">
        <v>732</v>
      </c>
      <c r="B14" s="321">
        <f>SUM(B9:B13)</f>
        <v>65840.22</v>
      </c>
    </row>
    <row r="16" spans="1:9" ht="18" x14ac:dyDescent="0.25">
      <c r="A16" s="319" t="s">
        <v>786</v>
      </c>
      <c r="F16" s="326" t="s">
        <v>1595</v>
      </c>
    </row>
    <row r="17" spans="1:6" ht="15" x14ac:dyDescent="0.2">
      <c r="A17" s="317" t="s">
        <v>1582</v>
      </c>
      <c r="B17" s="320">
        <f>'DOE25'!L363-'DOE25'!L362</f>
        <v>71300.33</v>
      </c>
      <c r="F17" s="317" t="s">
        <v>1596</v>
      </c>
    </row>
    <row r="18" spans="1:6" ht="15" x14ac:dyDescent="0.2">
      <c r="A18" s="317" t="s">
        <v>1583</v>
      </c>
      <c r="B18" s="330"/>
      <c r="F18" s="326" t="s">
        <v>1620</v>
      </c>
    </row>
    <row r="19" spans="1:6" ht="18" x14ac:dyDescent="0.25">
      <c r="A19" s="319" t="s">
        <v>725</v>
      </c>
      <c r="B19" s="321">
        <f>SUM(B17:B18)</f>
        <v>71300.33</v>
      </c>
    </row>
    <row r="21" spans="1:6" ht="18.75" thickBot="1" x14ac:dyDescent="0.3">
      <c r="A21" s="319" t="s">
        <v>1584</v>
      </c>
    </row>
    <row r="22" spans="1:6" ht="18.75" thickTop="1" x14ac:dyDescent="0.25">
      <c r="A22" s="319" t="s">
        <v>1585</v>
      </c>
      <c r="B22" s="325">
        <f>B14-B19</f>
        <v>-5460.1100000000006</v>
      </c>
      <c r="F22" s="317" t="s">
        <v>1597</v>
      </c>
    </row>
    <row r="26" spans="1:6" ht="18" x14ac:dyDescent="0.25">
      <c r="A26" s="319" t="s">
        <v>186</v>
      </c>
    </row>
    <row r="27" spans="1:6" ht="15" x14ac:dyDescent="0.2">
      <c r="A27" s="317" t="s">
        <v>1586</v>
      </c>
      <c r="B27" s="320">
        <f>'DOE25'!G180</f>
        <v>0</v>
      </c>
      <c r="F27" s="317" t="s">
        <v>1598</v>
      </c>
    </row>
    <row r="28" spans="1:6" ht="15" x14ac:dyDescent="0.2">
      <c r="A28" s="317" t="s">
        <v>1588</v>
      </c>
      <c r="B28" s="320">
        <f>'DOE25'!L362</f>
        <v>0</v>
      </c>
      <c r="F28" s="317" t="s">
        <v>1599</v>
      </c>
    </row>
    <row r="31" spans="1:6" ht="15" x14ac:dyDescent="0.2">
      <c r="A31" s="317" t="s">
        <v>1628</v>
      </c>
      <c r="B31" s="320">
        <f>'DOE25'!G466</f>
        <v>7133.55</v>
      </c>
      <c r="F31" s="317" t="s">
        <v>1600</v>
      </c>
    </row>
    <row r="33" spans="1:6" ht="15" x14ac:dyDescent="0.2">
      <c r="A33" s="317" t="s">
        <v>1629</v>
      </c>
      <c r="B33" s="320">
        <f>'DOE25'!G477</f>
        <v>1673.4400000000023</v>
      </c>
      <c r="F33" s="317" t="s">
        <v>1601</v>
      </c>
    </row>
    <row r="36" spans="1:6" ht="15" x14ac:dyDescent="0.2">
      <c r="A36" s="317" t="s">
        <v>1587</v>
      </c>
      <c r="B36" s="331">
        <v>3704.17</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24" sqref="B24:C24"/>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Milan</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404459.47</v>
      </c>
      <c r="C9" s="229">
        <f>'DOE25'!G198+'DOE25'!G216+'DOE25'!G234+'DOE25'!G277+'DOE25'!G296+'DOE25'!G315</f>
        <v>212205</v>
      </c>
    </row>
    <row r="10" spans="1:3" x14ac:dyDescent="0.2">
      <c r="A10" t="s">
        <v>775</v>
      </c>
      <c r="B10" s="240">
        <v>396539.45</v>
      </c>
      <c r="C10" s="240">
        <v>211086.34444248371</v>
      </c>
    </row>
    <row r="11" spans="1:3" x14ac:dyDescent="0.2">
      <c r="A11" t="s">
        <v>776</v>
      </c>
      <c r="B11" s="240">
        <v>1922.52</v>
      </c>
      <c r="C11" s="240">
        <v>442.4495261421373</v>
      </c>
    </row>
    <row r="12" spans="1:3" x14ac:dyDescent="0.2">
      <c r="A12" t="s">
        <v>777</v>
      </c>
      <c r="B12" s="240">
        <v>5997.5</v>
      </c>
      <c r="C12" s="240">
        <v>676.20603137416947</v>
      </c>
    </row>
    <row r="13" spans="1:3" x14ac:dyDescent="0.2">
      <c r="A13" t="str">
        <f>IF(B9=B13,IF(C9=C13,"Check Total OK","Check Total Error"),"Check Total Error")</f>
        <v>Check Total OK</v>
      </c>
      <c r="B13" s="231">
        <f>SUM(B10:B12)</f>
        <v>404459.47000000003</v>
      </c>
      <c r="C13" s="231">
        <f>SUM(C10:C12)</f>
        <v>212205</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164751.77000000002</v>
      </c>
      <c r="C18" s="229">
        <f>'DOE25'!G199+'DOE25'!G217+'DOE25'!G235+'DOE25'!G278+'DOE25'!G297+'DOE25'!G316</f>
        <v>20101.32</v>
      </c>
    </row>
    <row r="19" spans="1:3" x14ac:dyDescent="0.2">
      <c r="A19" t="s">
        <v>775</v>
      </c>
      <c r="B19" s="240">
        <v>39099</v>
      </c>
      <c r="C19" s="240">
        <v>10336.538207184056</v>
      </c>
    </row>
    <row r="20" spans="1:3" x14ac:dyDescent="0.2">
      <c r="A20" t="s">
        <v>776</v>
      </c>
      <c r="B20" s="240">
        <v>121590.51</v>
      </c>
      <c r="C20" s="240">
        <v>9449.0937066266415</v>
      </c>
    </row>
    <row r="21" spans="1:3" x14ac:dyDescent="0.2">
      <c r="A21" t="s">
        <v>777</v>
      </c>
      <c r="B21" s="240">
        <v>4062.26</v>
      </c>
      <c r="C21" s="240">
        <v>315.68808618930166</v>
      </c>
    </row>
    <row r="22" spans="1:3" x14ac:dyDescent="0.2">
      <c r="A22" t="str">
        <f>IF(B18=B22,IF(C18=C22,"Check Total OK","Check Total Error"),"Check Total Error")</f>
        <v>Check Total OK</v>
      </c>
      <c r="B22" s="231">
        <f>SUM(B19:B21)</f>
        <v>164751.77000000002</v>
      </c>
      <c r="C22" s="231">
        <f>SUM(C19:C21)</f>
        <v>20101.32</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4018.54</v>
      </c>
      <c r="C36" s="235">
        <f>'DOE25'!G201+'DOE25'!G219+'DOE25'!G237+'DOE25'!G280+'DOE25'!G299+'DOE25'!G318</f>
        <v>796.97</v>
      </c>
    </row>
    <row r="37" spans="1:3" x14ac:dyDescent="0.2">
      <c r="A37" t="s">
        <v>775</v>
      </c>
      <c r="B37" s="240">
        <v>4018.54</v>
      </c>
      <c r="C37" s="240">
        <v>796.97</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4018.54</v>
      </c>
      <c r="C40" s="231">
        <f>SUM(C37:C39)</f>
        <v>796.97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14" activePane="bottomLeft" state="frozen"/>
      <selection activeCell="F46" sqref="F46"/>
      <selection pane="bottomLeft" activeCell="F41" sqref="F4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Milan</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2225768.64</v>
      </c>
      <c r="D5" s="20">
        <f>SUM('DOE25'!L198:L201)+SUM('DOE25'!L216:L219)+SUM('DOE25'!L234:L237)-F5-G5-H5</f>
        <v>2206431.46</v>
      </c>
      <c r="E5" s="243"/>
      <c r="F5" s="244"/>
      <c r="G5" s="53">
        <f>SUM('DOE25'!J198:J201)+SUM('DOE25'!J216:J219)+SUM('DOE25'!J234:J237)</f>
        <v>19217.18</v>
      </c>
      <c r="H5" s="53">
        <f>SUM('DOE25'!K198:K201)+SUM('DOE25'!K216:K219)+SUM('DOE25'!K234:K237)</f>
        <v>120</v>
      </c>
      <c r="I5" s="256"/>
    </row>
    <row r="6" spans="1:9" x14ac:dyDescent="0.2">
      <c r="A6" s="32">
        <v>2100</v>
      </c>
      <c r="B6" t="s">
        <v>796</v>
      </c>
      <c r="C6" s="275">
        <f t="shared" si="0"/>
        <v>238255.85</v>
      </c>
      <c r="D6" s="20">
        <f>'DOE25'!L203+'DOE25'!L221+'DOE25'!L239-F6-G6-H6</f>
        <v>220865.47</v>
      </c>
      <c r="E6" s="243"/>
      <c r="F6" s="244">
        <v>15582</v>
      </c>
      <c r="G6" s="53">
        <f>'DOE25'!J203+'DOE25'!J221+'DOE25'!J239</f>
        <v>1530.38</v>
      </c>
      <c r="H6" s="53">
        <f>'DOE25'!K203+'DOE25'!K221+'DOE25'!K239</f>
        <v>278</v>
      </c>
      <c r="I6" s="256"/>
    </row>
    <row r="7" spans="1:9" x14ac:dyDescent="0.2">
      <c r="A7" s="32">
        <v>2200</v>
      </c>
      <c r="B7" t="s">
        <v>821</v>
      </c>
      <c r="C7" s="275">
        <f t="shared" si="0"/>
        <v>38158.700000000004</v>
      </c>
      <c r="D7" s="20">
        <f>'DOE25'!L204+'DOE25'!L222+'DOE25'!L240-F7-G7-H7</f>
        <v>34898.240000000005</v>
      </c>
      <c r="E7" s="243"/>
      <c r="F7" s="244"/>
      <c r="G7" s="53">
        <f>'DOE25'!J204+'DOE25'!J222+'DOE25'!J240</f>
        <v>3260.46</v>
      </c>
      <c r="H7" s="53">
        <f>'DOE25'!K204+'DOE25'!K222+'DOE25'!K240</f>
        <v>0</v>
      </c>
      <c r="I7" s="256"/>
    </row>
    <row r="8" spans="1:9" x14ac:dyDescent="0.2">
      <c r="A8" s="32">
        <v>2300</v>
      </c>
      <c r="B8" t="s">
        <v>797</v>
      </c>
      <c r="C8" s="275">
        <f t="shared" si="0"/>
        <v>126030.70999999998</v>
      </c>
      <c r="D8" s="243"/>
      <c r="E8" s="20">
        <f>'DOE25'!L205+'DOE25'!L223+'DOE25'!L241-F8-G8-H8-D9-D11</f>
        <v>123123.28999999998</v>
      </c>
      <c r="F8" s="244"/>
      <c r="G8" s="53">
        <f>'DOE25'!J205+'DOE25'!J223+'DOE25'!J241</f>
        <v>0</v>
      </c>
      <c r="H8" s="53">
        <f>'DOE25'!K205+'DOE25'!K223+'DOE25'!K241</f>
        <v>2907.42</v>
      </c>
      <c r="I8" s="256"/>
    </row>
    <row r="9" spans="1:9" ht="14.25" x14ac:dyDescent="0.2">
      <c r="A9" s="32">
        <v>2310</v>
      </c>
      <c r="B9" s="185" t="s">
        <v>888</v>
      </c>
      <c r="C9" s="275">
        <f t="shared" si="0"/>
        <v>8641.25</v>
      </c>
      <c r="D9" s="244">
        <v>8641.25</v>
      </c>
      <c r="E9" s="243"/>
      <c r="F9" s="253"/>
      <c r="G9" s="253"/>
      <c r="H9" s="253"/>
      <c r="I9" s="256"/>
    </row>
    <row r="10" spans="1:9" ht="14.25" x14ac:dyDescent="0.2">
      <c r="A10" s="32">
        <v>2317</v>
      </c>
      <c r="B10" s="185" t="s">
        <v>889</v>
      </c>
      <c r="C10" s="275">
        <f t="shared" si="0"/>
        <v>5618.9</v>
      </c>
      <c r="D10" s="243"/>
      <c r="E10" s="244">
        <v>5618.9</v>
      </c>
      <c r="F10" s="253"/>
      <c r="G10" s="253"/>
      <c r="H10" s="253"/>
      <c r="I10" s="256"/>
    </row>
    <row r="11" spans="1:9" ht="14.25" x14ac:dyDescent="0.2">
      <c r="A11" s="32">
        <v>2321</v>
      </c>
      <c r="B11" s="185" t="s">
        <v>890</v>
      </c>
      <c r="C11" s="275">
        <f t="shared" si="0"/>
        <v>32063.29</v>
      </c>
      <c r="D11" s="244">
        <v>32063.29</v>
      </c>
      <c r="E11" s="243"/>
      <c r="F11" s="253"/>
      <c r="G11" s="253"/>
      <c r="H11" s="253"/>
      <c r="I11" s="256"/>
    </row>
    <row r="12" spans="1:9" x14ac:dyDescent="0.2">
      <c r="A12" s="32">
        <v>2400</v>
      </c>
      <c r="B12" t="s">
        <v>711</v>
      </c>
      <c r="C12" s="275">
        <f t="shared" si="0"/>
        <v>174784.35</v>
      </c>
      <c r="D12" s="20">
        <f>'DOE25'!L206+'DOE25'!L224+'DOE25'!L242-F12-G12-H12</f>
        <v>172084.35</v>
      </c>
      <c r="E12" s="243"/>
      <c r="F12" s="244"/>
      <c r="G12" s="53">
        <f>'DOE25'!J206+'DOE25'!J224+'DOE25'!J242</f>
        <v>0</v>
      </c>
      <c r="H12" s="53">
        <f>'DOE25'!K206+'DOE25'!K224+'DOE25'!K242</f>
        <v>2700</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217074.31000000003</v>
      </c>
      <c r="D14" s="20">
        <f>'DOE25'!L208+'DOE25'!L226+'DOE25'!L244-F14-G14-H14</f>
        <v>212067.52000000002</v>
      </c>
      <c r="E14" s="243"/>
      <c r="F14" s="244"/>
      <c r="G14" s="53">
        <f>'DOE25'!J208+'DOE25'!J226+'DOE25'!J244</f>
        <v>5006.79</v>
      </c>
      <c r="H14" s="53">
        <f>'DOE25'!K208+'DOE25'!K226+'DOE25'!K244</f>
        <v>0</v>
      </c>
      <c r="I14" s="256"/>
    </row>
    <row r="15" spans="1:9" x14ac:dyDescent="0.2">
      <c r="A15" s="32">
        <v>2700</v>
      </c>
      <c r="B15" t="s">
        <v>799</v>
      </c>
      <c r="C15" s="275">
        <f t="shared" si="0"/>
        <v>218467.41999999998</v>
      </c>
      <c r="D15" s="20">
        <f>'DOE25'!L209+'DOE25'!L227+'DOE25'!L245-F15-G15-H15</f>
        <v>30054.52999999997</v>
      </c>
      <c r="E15" s="243"/>
      <c r="F15" s="244">
        <v>188412.89</v>
      </c>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7106.24</v>
      </c>
      <c r="D19" s="20">
        <f>'DOE25'!L254-F19-G19-H19</f>
        <v>6739.24</v>
      </c>
      <c r="E19" s="243"/>
      <c r="F19" s="244"/>
      <c r="G19" s="53">
        <f>'DOE25'!J254</f>
        <v>0</v>
      </c>
      <c r="H19" s="53">
        <f>'DOE25'!K254</f>
        <v>367</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5776.5</v>
      </c>
      <c r="D22" s="243"/>
      <c r="E22" s="243"/>
      <c r="F22" s="243"/>
      <c r="G22" s="53">
        <f>'DOE25'!L256+'DOE25'!L337</f>
        <v>5776.5</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103950</v>
      </c>
      <c r="D25" s="243"/>
      <c r="E25" s="243"/>
      <c r="F25" s="255"/>
      <c r="G25" s="253"/>
      <c r="H25" s="253"/>
      <c r="I25" s="254">
        <f>'DOE25'!L261+'DOE25'!L262+'DOE25'!L342+'DOE25'!L343</f>
        <v>103950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67596.160000000003</v>
      </c>
      <c r="D29" s="283">
        <f>'DOE25'!L359+'DOE25'!L360+'DOE25'!L361-'DOE25'!I368-F29-G29-H29</f>
        <v>33479.69</v>
      </c>
      <c r="E29" s="243"/>
      <c r="F29" s="244">
        <v>34016.47</v>
      </c>
      <c r="G29" s="53">
        <f>'DOE25'!J359+'DOE25'!J360+'DOE25'!J361</f>
        <v>0</v>
      </c>
      <c r="H29" s="53">
        <f>'DOE25'!K359+'DOE25'!K360+'DOE25'!K361</f>
        <v>100</v>
      </c>
      <c r="I29" s="256"/>
    </row>
    <row r="30" spans="1:9" x14ac:dyDescent="0.2">
      <c r="A30" s="32"/>
      <c r="C30" s="276"/>
      <c r="D30" s="20"/>
      <c r="E30" s="280"/>
      <c r="F30" s="270"/>
      <c r="G30" s="53"/>
      <c r="H30" s="53"/>
      <c r="I30" s="256"/>
    </row>
    <row r="31" spans="1:9" x14ac:dyDescent="0.2">
      <c r="A31" s="32" t="s">
        <v>818</v>
      </c>
      <c r="B31" t="s">
        <v>817</v>
      </c>
      <c r="C31" s="275">
        <f>SUM(D31:I31)</f>
        <v>225179.95</v>
      </c>
      <c r="D31" s="20">
        <f>'DOE25'!L291+'DOE25'!L310+'DOE25'!L329+'DOE25'!L334+'DOE25'!L335+'DOE25'!L336-F31-G31-H31</f>
        <v>149105.95000000001</v>
      </c>
      <c r="E31" s="243"/>
      <c r="F31" s="244"/>
      <c r="G31" s="53">
        <f>'DOE25'!J291+'DOE25'!J310+'DOE25'!J329+'DOE25'!J334+'DOE25'!J335+'DOE25'!J336</f>
        <v>43822.12</v>
      </c>
      <c r="H31" s="53">
        <f>'DOE25'!K291+'DOE25'!K310+'DOE25'!K329+'DOE25'!K334+'DOE25'!K335+'DOE25'!K336</f>
        <v>32251.88</v>
      </c>
      <c r="I31" s="256"/>
    </row>
    <row r="32" spans="1:9" ht="12" thickBot="1" x14ac:dyDescent="0.25">
      <c r="C32" s="276"/>
      <c r="G32" s="251"/>
      <c r="H32" s="251"/>
      <c r="I32" s="258"/>
    </row>
    <row r="33" spans="1:9" ht="12" thickTop="1" x14ac:dyDescent="0.2">
      <c r="B33" t="s">
        <v>809</v>
      </c>
      <c r="D33" s="245">
        <f t="shared" ref="D33:I33" si="1">SUM(D5:D31)</f>
        <v>3106430.9900000007</v>
      </c>
      <c r="E33" s="245">
        <f t="shared" si="1"/>
        <v>128742.18999999997</v>
      </c>
      <c r="F33" s="245">
        <f t="shared" si="1"/>
        <v>238011.36000000002</v>
      </c>
      <c r="G33" s="245">
        <f t="shared" si="1"/>
        <v>78613.429999999993</v>
      </c>
      <c r="H33" s="245">
        <f t="shared" si="1"/>
        <v>38724.300000000003</v>
      </c>
      <c r="I33" s="245">
        <f t="shared" si="1"/>
        <v>103950</v>
      </c>
    </row>
    <row r="35" spans="1:9" ht="12" thickBot="1" x14ac:dyDescent="0.25">
      <c r="B35" s="251" t="s">
        <v>831</v>
      </c>
      <c r="D35" s="252">
        <f>E33</f>
        <v>128742.18999999997</v>
      </c>
      <c r="E35" s="248"/>
      <c r="F35" s="335" t="s">
        <v>1632</v>
      </c>
      <c r="G35" s="336"/>
      <c r="H35" s="336"/>
      <c r="I35" s="336"/>
    </row>
    <row r="36" spans="1:9" ht="12" thickTop="1" x14ac:dyDescent="0.2">
      <c r="B36" t="s">
        <v>810</v>
      </c>
      <c r="D36" s="20">
        <f>D33</f>
        <v>3106430.9900000007</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abSelected="1" zoomScaleNormal="100" workbookViewId="0">
      <selection activeCell="A38" sqref="A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Milan</v>
      </c>
      <c r="B2" s="126">
        <f>'DOE25'!B2</f>
        <v>355</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1871121.69</v>
      </c>
      <c r="G4" s="302">
        <f>'DOE25'!L212+'DOE25'!L291</f>
        <v>1871121.6912530642</v>
      </c>
      <c r="H4" s="355">
        <f>F4-G4</f>
        <v>-1.2530642561614513E-3</v>
      </c>
      <c r="I4" s="372" t="str">
        <f>IF(H4=0,"","ISSUES!! Please review page 7 and 11 totals in comparison with total on this page")</f>
        <v>ISSUES!! Please review page 7 and 11 totals in comparison with total on this page</v>
      </c>
      <c r="N4"/>
    </row>
    <row r="5" spans="1:18" x14ac:dyDescent="0.2">
      <c r="A5" s="21" t="s">
        <v>1264</v>
      </c>
      <c r="B5" s="303">
        <f>IFERROR(VLOOKUP(A5,'School Tables'!$C$3:$D$365,2,FALSE),"")</f>
        <v>20760</v>
      </c>
      <c r="C5" s="296" t="str">
        <f>IFERROR(INDEX('School Tables'!$B$3:$B$365,MATCH('School Level Expenditures'!B5,'School Tables'!$D$3:$D$365,0)),"")</f>
        <v>Milan</v>
      </c>
      <c r="D5" s="293">
        <v>1629870.89</v>
      </c>
      <c r="E5" s="293">
        <v>219029.8</v>
      </c>
      <c r="F5" s="306">
        <f>D5+E5</f>
        <v>1848900.69</v>
      </c>
      <c r="G5" s="296"/>
      <c r="H5" s="296"/>
      <c r="I5" s="373"/>
      <c r="N5"/>
    </row>
    <row r="6" spans="1:18" x14ac:dyDescent="0.2">
      <c r="A6" s="21" t="s">
        <v>1555</v>
      </c>
      <c r="B6" s="303">
        <f>IFERROR(VLOOKUP(A6,'School Tables'!$C$3:$D$365,2,FALSE),"")</f>
        <v>99999</v>
      </c>
      <c r="C6" s="296" t="str">
        <f>IFERROR(INDEX('School Tables'!$B$3:$B$365,MATCH('School Level Expenditures'!B6,'School Tables'!$D$3:$D$365,0)),"")</f>
        <v>Other District Expenditures</v>
      </c>
      <c r="D6" s="293">
        <v>22221</v>
      </c>
      <c r="E6" s="293"/>
      <c r="F6" s="306">
        <f t="shared" ref="F6:F20" si="0">D6+E6</f>
        <v>22221</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1652091.89</v>
      </c>
      <c r="E21" s="353">
        <f>SUM(E5:E20)</f>
        <v>219029.8</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398155.9</v>
      </c>
      <c r="G24" s="302">
        <f>'DOE25'!L230+'DOE25'!L310</f>
        <v>398155.90320307278</v>
      </c>
      <c r="H24" s="355">
        <f>F24-G24</f>
        <v>-3.2030727597884834E-3</v>
      </c>
      <c r="I24" s="372" t="str">
        <f>IF(H24=0,"","ISSUES!! Please review page 8 and 12 totals in comparison with total on this page")</f>
        <v>ISSUES!! Please review page 8 and 12 totals in comparison with total on this page</v>
      </c>
      <c r="N24"/>
    </row>
    <row r="25" spans="1:14" x14ac:dyDescent="0.2">
      <c r="A25" s="21" t="s">
        <v>1555</v>
      </c>
      <c r="B25" s="303">
        <f>IFERROR(VLOOKUP(A25,'School Tables'!$I$3:$J$80,2,FALSE),"")</f>
        <v>99999</v>
      </c>
      <c r="C25" s="296" t="str">
        <f t="array" ref="C25">IFERROR(INDEX('School Tables'!$H$3:$H$80,MATCH('School Level Expenditures'!B25,'School Tables'!$J$3:$J$80,0)),"")</f>
        <v>Other District Expenditures</v>
      </c>
      <c r="D25" s="293">
        <v>269356.08</v>
      </c>
      <c r="E25" s="293">
        <v>2300</v>
      </c>
      <c r="F25" s="306">
        <f>D25+E25</f>
        <v>271656.08</v>
      </c>
      <c r="G25" s="296"/>
      <c r="H25" s="296"/>
      <c r="I25" s="373"/>
      <c r="N25"/>
    </row>
    <row r="26" spans="1:14" x14ac:dyDescent="0.2">
      <c r="A26" s="21" t="s">
        <v>1555</v>
      </c>
      <c r="B26" s="303">
        <f>IFERROR(VLOOKUP(A26,'School Tables'!$I$3:$J$80,2,FALSE),"")</f>
        <v>99999</v>
      </c>
      <c r="C26" s="296" t="str">
        <f t="array" ref="C26">IFERROR(INDEX('School Tables'!$H$3:$H$80,MATCH('School Level Expenditures'!B26,'School Tables'!$J$3:$J$80,0)),"")</f>
        <v>Other District Expenditures</v>
      </c>
      <c r="D26" s="293">
        <v>72953.69</v>
      </c>
      <c r="E26" s="293">
        <v>400</v>
      </c>
      <c r="F26" s="306">
        <f t="shared" ref="F26:F32" si="1">D26+E26</f>
        <v>73353.69</v>
      </c>
      <c r="G26" s="296"/>
      <c r="H26" s="296"/>
      <c r="I26" s="373"/>
      <c r="N26"/>
    </row>
    <row r="27" spans="1:14" x14ac:dyDescent="0.2">
      <c r="A27" s="21" t="s">
        <v>1555</v>
      </c>
      <c r="B27" s="303">
        <f>IFERROR(VLOOKUP(A27,'School Tables'!$I$3:$J$80,2,FALSE),"")</f>
        <v>99999</v>
      </c>
      <c r="C27" s="296" t="str">
        <f t="array" ref="C27">IFERROR(INDEX('School Tables'!$H$3:$H$80,MATCH('School Level Expenditures'!B27,'School Tables'!$J$3:$J$80,0)),"")</f>
        <v>Other District Expenditures</v>
      </c>
      <c r="D27" s="293">
        <f>53146.13-E27</f>
        <v>51274.63</v>
      </c>
      <c r="E27" s="293">
        <v>1871.5</v>
      </c>
      <c r="F27" s="306">
        <f t="shared" si="1"/>
        <v>53146.13</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393584.4</v>
      </c>
      <c r="E33" s="353">
        <f>SUM(E25:E32)</f>
        <v>4571.5</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1234896.8799999999</v>
      </c>
      <c r="G36" s="302">
        <f>'DOE25'!L248+'DOE25'!L329</f>
        <v>1234896.875543863</v>
      </c>
      <c r="H36" s="355">
        <f>F36-G36</f>
        <v>4.456136841326952E-3</v>
      </c>
      <c r="I36" s="372" t="str">
        <f>IF(H36=0,"","ISSUES!! Please review page 9 and 13 totals in comparison with total on this page")</f>
        <v>ISSUES!! Please review page 9 and 13 totals in comparison with total on this page</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933861.63</v>
      </c>
      <c r="E37" s="293">
        <v>5500</v>
      </c>
      <c r="F37" s="306">
        <f t="shared" ref="F37:F42" si="2">D37+E37</f>
        <v>939361.63</v>
      </c>
      <c r="G37" s="296"/>
      <c r="H37" s="296"/>
      <c r="I37" s="373"/>
      <c r="N37"/>
    </row>
    <row r="38" spans="1:14" x14ac:dyDescent="0.2">
      <c r="A38" s="21" t="s">
        <v>1555</v>
      </c>
      <c r="B38" s="303">
        <f>IFERROR(VLOOKUP(A38,'School Tables'!$O$3:$P$118,2,FALSE),"")</f>
        <v>99999</v>
      </c>
      <c r="C38" s="296" t="str">
        <f t="array" ref="C38">IFERROR(INDEX('School Tables'!$N$3:$N$118,MATCH('School Level Expenditures'!B38,'School Tables'!$P$3:$P$118,0)),"")</f>
        <v>Other District Expenditures</v>
      </c>
      <c r="D38" s="293">
        <v>101507.31</v>
      </c>
      <c r="E38" s="293">
        <v>600</v>
      </c>
      <c r="F38" s="306">
        <f t="shared" si="2"/>
        <v>102107.31</v>
      </c>
      <c r="G38" s="296"/>
      <c r="H38" s="296"/>
      <c r="I38" s="373"/>
      <c r="N38"/>
    </row>
    <row r="39" spans="1:14" x14ac:dyDescent="0.2">
      <c r="A39" s="21" t="s">
        <v>1555</v>
      </c>
      <c r="B39" s="303">
        <f>IFERROR(VLOOKUP(A39,'School Tables'!$O$3:$P$118,2,FALSE),"")</f>
        <v>99999</v>
      </c>
      <c r="C39" s="296" t="str">
        <f t="array" ref="C39">IFERROR(INDEX('School Tables'!$N$3:$N$118,MATCH('School Level Expenditures'!B39,'School Tables'!$P$3:$P$118,0)),"")</f>
        <v>Other District Expenditures</v>
      </c>
      <c r="D39" s="293">
        <f>193427.94-E39</f>
        <v>184956.94</v>
      </c>
      <c r="E39" s="293">
        <v>8471</v>
      </c>
      <c r="F39" s="306">
        <f t="shared" si="2"/>
        <v>193427.94</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1220325.8799999999</v>
      </c>
      <c r="E43" s="354">
        <f>SUM(E37:E42)</f>
        <v>14571</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Milan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-31661.56</v>
      </c>
      <c r="D8" s="95">
        <f>'DOE25'!G9</f>
        <v>0</v>
      </c>
      <c r="E8" s="95">
        <f>'DOE25'!H9</f>
        <v>0</v>
      </c>
      <c r="F8" s="95">
        <f>'DOE25'!I9</f>
        <v>0</v>
      </c>
      <c r="G8" s="95">
        <f>'DOE25'!J9</f>
        <v>0</v>
      </c>
      <c r="H8" s="124"/>
      <c r="I8" s="124"/>
    </row>
    <row r="9" spans="1:9" x14ac:dyDescent="0.2">
      <c r="A9" s="1" t="s">
        <v>140</v>
      </c>
      <c r="B9" s="6">
        <v>110</v>
      </c>
      <c r="C9" s="95">
        <f>'DOE25'!F10</f>
        <v>43515.8</v>
      </c>
      <c r="D9" s="95">
        <f>'DOE25'!G10</f>
        <v>0</v>
      </c>
      <c r="E9" s="95">
        <f>'DOE25'!H10</f>
        <v>0</v>
      </c>
      <c r="F9" s="95">
        <f>'DOE25'!I10</f>
        <v>0</v>
      </c>
      <c r="G9" s="95">
        <f>'DOE25'!J10</f>
        <v>413202.19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165990.14000000001</v>
      </c>
      <c r="D11" s="95">
        <f>'DOE25'!G12</f>
        <v>10168.75</v>
      </c>
      <c r="E11" s="95">
        <f>'DOE25'!H12</f>
        <v>0</v>
      </c>
      <c r="F11" s="95">
        <f>'DOE25'!I12</f>
        <v>0</v>
      </c>
      <c r="G11" s="95">
        <f>'DOE25'!J12</f>
        <v>4880.8500000000004</v>
      </c>
      <c r="H11" s="124"/>
      <c r="I11" s="124"/>
    </row>
    <row r="12" spans="1:9" x14ac:dyDescent="0.2">
      <c r="A12" s="1" t="s">
        <v>143</v>
      </c>
      <c r="B12" s="6">
        <v>140</v>
      </c>
      <c r="C12" s="95">
        <f>'DOE25'!F13</f>
        <v>154515.57999999999</v>
      </c>
      <c r="D12" s="95">
        <f>'DOE25'!G13</f>
        <v>11850.38</v>
      </c>
      <c r="E12" s="95">
        <f>'DOE25'!H13</f>
        <v>116754.32</v>
      </c>
      <c r="F12" s="95">
        <f>'DOE25'!I13</f>
        <v>72596.539999999994</v>
      </c>
      <c r="G12" s="95">
        <f>'DOE25'!J13</f>
        <v>0</v>
      </c>
      <c r="H12" s="124"/>
      <c r="I12" s="124"/>
    </row>
    <row r="13" spans="1:9" x14ac:dyDescent="0.2">
      <c r="A13" s="1" t="s">
        <v>144</v>
      </c>
      <c r="B13" s="6">
        <v>150</v>
      </c>
      <c r="C13" s="95">
        <f>'DOE25'!F14</f>
        <v>1564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333923.95999999996</v>
      </c>
      <c r="D18" s="41">
        <f>SUM(D8:D17)</f>
        <v>22019.129999999997</v>
      </c>
      <c r="E18" s="41">
        <f>SUM(E8:E17)</f>
        <v>116754.32</v>
      </c>
      <c r="F18" s="41">
        <f>SUM(F8:F17)</f>
        <v>72596.539999999994</v>
      </c>
      <c r="G18" s="41">
        <f>SUM(G8:G17)</f>
        <v>418083.04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108443.2</v>
      </c>
      <c r="F21" s="95">
        <f>'DOE25'!I22</f>
        <v>72596.539999999994</v>
      </c>
      <c r="G21" s="95">
        <f>'DOE25'!J22</f>
        <v>0</v>
      </c>
      <c r="H21" s="124"/>
      <c r="I21" s="124"/>
    </row>
    <row r="22" spans="1:9" x14ac:dyDescent="0.2">
      <c r="A22" s="1" t="s">
        <v>151</v>
      </c>
      <c r="B22" s="6">
        <v>410</v>
      </c>
      <c r="C22" s="95">
        <f>'DOE25'!F23</f>
        <v>1510.02</v>
      </c>
      <c r="D22" s="95">
        <f>'DOE25'!G23</f>
        <v>10560</v>
      </c>
      <c r="E22" s="95">
        <f>'DOE25'!H23</f>
        <v>4167.21</v>
      </c>
      <c r="F22" s="95">
        <f>'DOE25'!I23</f>
        <v>0</v>
      </c>
      <c r="G22" s="95">
        <f>'DOE25'!J23</f>
        <v>72596.539999999994</v>
      </c>
      <c r="H22" s="124"/>
      <c r="I22" s="124"/>
    </row>
    <row r="23" spans="1:9" x14ac:dyDescent="0.2">
      <c r="A23" s="1" t="s">
        <v>152</v>
      </c>
      <c r="B23" s="6">
        <v>420</v>
      </c>
      <c r="C23" s="95">
        <f>'DOE25'!F24</f>
        <v>6461.95</v>
      </c>
      <c r="D23" s="95">
        <f>'DOE25'!G24</f>
        <v>9785.69</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3717.1000000000004</v>
      </c>
      <c r="D28" s="95">
        <f>'DOE25'!G29</f>
        <v>0</v>
      </c>
      <c r="E28" s="95">
        <f>'DOE25'!H29</f>
        <v>0</v>
      </c>
      <c r="F28" s="95">
        <f>'DOE25'!I29</f>
        <v>0</v>
      </c>
      <c r="G28" s="24" t="s">
        <v>288</v>
      </c>
      <c r="H28" s="124"/>
      <c r="I28" s="124"/>
    </row>
    <row r="29" spans="1:9" x14ac:dyDescent="0.2">
      <c r="A29" s="1" t="s">
        <v>158</v>
      </c>
      <c r="B29" s="6">
        <v>480</v>
      </c>
      <c r="C29" s="95">
        <f>'DOE25'!F30</f>
        <v>7500</v>
      </c>
      <c r="D29" s="95">
        <f>'DOE25'!G30</f>
        <v>0</v>
      </c>
      <c r="E29" s="95">
        <f>'DOE25'!H30</f>
        <v>4143.91</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19189.07</v>
      </c>
      <c r="D31" s="41">
        <f>SUM(D21:D30)</f>
        <v>20345.690000000002</v>
      </c>
      <c r="E31" s="41">
        <f>SUM(E21:E30)</f>
        <v>116754.32</v>
      </c>
      <c r="F31" s="41">
        <f>SUM(F21:F30)</f>
        <v>72596.539999999994</v>
      </c>
      <c r="G31" s="41">
        <f>SUM(G21:G30)</f>
        <v>72596.539999999994</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49049</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1673.44</v>
      </c>
      <c r="E47" s="95">
        <f>'DOE25'!H48</f>
        <v>0</v>
      </c>
      <c r="F47" s="95">
        <f>'DOE25'!I48</f>
        <v>0</v>
      </c>
      <c r="G47" s="95">
        <f>'DOE25'!J48</f>
        <v>345486.5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265685.89</v>
      </c>
      <c r="D49" s="24" t="s">
        <v>288</v>
      </c>
      <c r="E49" s="24" t="s">
        <v>288</v>
      </c>
      <c r="F49" s="24" t="s">
        <v>288</v>
      </c>
      <c r="G49" s="24" t="s">
        <v>288</v>
      </c>
      <c r="H49" s="124"/>
      <c r="I49" s="124"/>
    </row>
    <row r="50" spans="1:9" ht="12.75" thickTop="1" thickBot="1" x14ac:dyDescent="0.25">
      <c r="A50" s="38" t="s">
        <v>884</v>
      </c>
      <c r="B50" s="48"/>
      <c r="C50" s="41">
        <f>SUM(C34:C49)</f>
        <v>314734.89</v>
      </c>
      <c r="D50" s="41">
        <f>SUM(D34:D49)</f>
        <v>1673.44</v>
      </c>
      <c r="E50" s="41">
        <f>SUM(E34:E49)</f>
        <v>0</v>
      </c>
      <c r="F50" s="41">
        <f>SUM(F34:F49)</f>
        <v>0</v>
      </c>
      <c r="G50" s="41">
        <f>SUM(G34:G49)</f>
        <v>345486.5</v>
      </c>
      <c r="H50" s="124"/>
      <c r="I50" s="124"/>
    </row>
    <row r="51" spans="1:9" ht="12" thickTop="1" x14ac:dyDescent="0.2">
      <c r="A51" s="38" t="s">
        <v>885</v>
      </c>
      <c r="B51" s="2"/>
      <c r="C51" s="41">
        <f>C50+C31</f>
        <v>333923.96000000002</v>
      </c>
      <c r="D51" s="41">
        <f>D50+D31</f>
        <v>22019.13</v>
      </c>
      <c r="E51" s="41">
        <f>E50+E31</f>
        <v>116754.32</v>
      </c>
      <c r="F51" s="41">
        <f>F50+F31</f>
        <v>72596.539999999994</v>
      </c>
      <c r="G51" s="41">
        <f>G50+G31</f>
        <v>418083.04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1754779</v>
      </c>
      <c r="D56" s="95">
        <f>'DOE25'!G60</f>
        <v>0</v>
      </c>
      <c r="E56" s="95">
        <f>'DOE25'!H60</f>
        <v>0</v>
      </c>
      <c r="F56" s="95">
        <f>'DOE25'!I60</f>
        <v>0</v>
      </c>
      <c r="G56" s="95">
        <f>'DOE25'!J60</f>
        <v>0</v>
      </c>
      <c r="H56"/>
      <c r="I56"/>
    </row>
    <row r="57" spans="1:9" x14ac:dyDescent="0.2">
      <c r="A57" s="1" t="s">
        <v>164</v>
      </c>
      <c r="B57" s="6" t="s">
        <v>165</v>
      </c>
      <c r="C57" s="95">
        <f>'DOE25'!F79</f>
        <v>156157.87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238.18</v>
      </c>
      <c r="D59" s="95">
        <f>'DOE25'!G96</f>
        <v>0</v>
      </c>
      <c r="E59" s="95">
        <f>'DOE25'!H96</f>
        <v>0</v>
      </c>
      <c r="F59" s="95">
        <f>'DOE25'!I96</f>
        <v>0</v>
      </c>
      <c r="G59" s="95">
        <f>'DOE25'!J96</f>
        <v>296.54000000000002</v>
      </c>
      <c r="H59"/>
      <c r="I59"/>
    </row>
    <row r="60" spans="1:9" x14ac:dyDescent="0.2">
      <c r="A60" s="1" t="s">
        <v>170</v>
      </c>
      <c r="B60" s="118" t="s">
        <v>171</v>
      </c>
      <c r="C60" s="24" t="s">
        <v>288</v>
      </c>
      <c r="D60" s="95">
        <f>'DOE25'!G97</f>
        <v>838.75</v>
      </c>
      <c r="E60" s="24" t="s">
        <v>288</v>
      </c>
      <c r="F60" s="24" t="s">
        <v>288</v>
      </c>
      <c r="G60" s="24" t="s">
        <v>288</v>
      </c>
      <c r="H60"/>
      <c r="I60"/>
    </row>
    <row r="61" spans="1:9" ht="12" thickBot="1" x14ac:dyDescent="0.25">
      <c r="A61" s="1" t="s">
        <v>172</v>
      </c>
      <c r="B61" s="118" t="s">
        <v>173</v>
      </c>
      <c r="C61" s="95">
        <f>SUM('DOE25'!F98:F110)</f>
        <v>15006.52</v>
      </c>
      <c r="D61" s="95">
        <f>SUM('DOE25'!G98:G110)</f>
        <v>0</v>
      </c>
      <c r="E61" s="95">
        <f>SUM('DOE25'!H98:H110)</f>
        <v>757.54</v>
      </c>
      <c r="F61" s="95">
        <f>SUM('DOE25'!I98:I110)</f>
        <v>0</v>
      </c>
      <c r="G61" s="95">
        <f>SUM('DOE25'!J98:J110)</f>
        <v>0</v>
      </c>
      <c r="H61"/>
      <c r="I61"/>
    </row>
    <row r="62" spans="1:9" ht="12.75" thickTop="1" thickBot="1" x14ac:dyDescent="0.25">
      <c r="A62" s="29" t="s">
        <v>174</v>
      </c>
      <c r="B62" s="6"/>
      <c r="C62" s="130">
        <f>SUM(C57:C61)</f>
        <v>171402.56999999998</v>
      </c>
      <c r="D62" s="130">
        <f>SUM(D57:D61)</f>
        <v>838.75</v>
      </c>
      <c r="E62" s="130">
        <f>SUM(E57:E61)</f>
        <v>757.54</v>
      </c>
      <c r="F62" s="130">
        <f>SUM(F57:F61)</f>
        <v>0</v>
      </c>
      <c r="G62" s="130">
        <f>SUM(G57:G61)</f>
        <v>296.54000000000002</v>
      </c>
      <c r="H62"/>
      <c r="I62"/>
    </row>
    <row r="63" spans="1:9" ht="12" thickTop="1" x14ac:dyDescent="0.2">
      <c r="A63" s="29" t="s">
        <v>175</v>
      </c>
      <c r="B63" s="6"/>
      <c r="C63" s="22">
        <f>C56+C62</f>
        <v>1926181.57</v>
      </c>
      <c r="D63" s="22">
        <f>D56+D62</f>
        <v>838.75</v>
      </c>
      <c r="E63" s="22">
        <f>E56+E62</f>
        <v>757.54</v>
      </c>
      <c r="F63" s="22">
        <f>F56+F62</f>
        <v>0</v>
      </c>
      <c r="G63" s="22">
        <f>G56+G62</f>
        <v>296.54000000000002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1448848.64</v>
      </c>
      <c r="D66" s="24" t="s">
        <v>288</v>
      </c>
      <c r="E66" s="24" t="s">
        <v>288</v>
      </c>
      <c r="F66" s="24" t="s">
        <v>288</v>
      </c>
      <c r="G66" s="24" t="s">
        <v>288</v>
      </c>
      <c r="H66"/>
      <c r="I66"/>
    </row>
    <row r="67" spans="1:9" x14ac:dyDescent="0.2">
      <c r="A67" s="1" t="s">
        <v>770</v>
      </c>
      <c r="B67" s="6">
        <v>3112</v>
      </c>
      <c r="C67" s="95">
        <f>'DOE25'!F118</f>
        <v>207183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1656031.64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2400</v>
      </c>
      <c r="F76" s="95">
        <f>SUM('DOE25'!I127:I130)</f>
        <v>0</v>
      </c>
      <c r="G76" s="24" t="s">
        <v>288</v>
      </c>
      <c r="H76"/>
      <c r="I76"/>
    </row>
    <row r="77" spans="1:9" ht="12" thickBot="1" x14ac:dyDescent="0.25">
      <c r="A77" s="1" t="s">
        <v>258</v>
      </c>
      <c r="B77" s="6" t="s">
        <v>180</v>
      </c>
      <c r="C77" s="95">
        <f>SUM('DOE25'!F131:F135)</f>
        <v>0</v>
      </c>
      <c r="D77" s="95">
        <f>SUM('DOE25'!G131:G135)</f>
        <v>991.09</v>
      </c>
      <c r="E77" s="95">
        <f>SUM('DOE25'!H131:H135)</f>
        <v>0</v>
      </c>
      <c r="F77" s="95">
        <f>SUM('DOE25'!I131:I135)</f>
        <v>0</v>
      </c>
      <c r="G77" s="95">
        <f>SUM('DOE25'!J131:J135)</f>
        <v>0</v>
      </c>
      <c r="H77"/>
      <c r="I77"/>
    </row>
    <row r="78" spans="1:9" ht="12.75" thickTop="1" thickBot="1" x14ac:dyDescent="0.25">
      <c r="A78" s="29" t="s">
        <v>259</v>
      </c>
      <c r="B78" s="6"/>
      <c r="C78" s="130">
        <f>SUM(C72:C77)</f>
        <v>0</v>
      </c>
      <c r="D78" s="130">
        <f>SUM(D72:D77)</f>
        <v>991.09</v>
      </c>
      <c r="E78" s="130">
        <f>SUM(E72:E77)</f>
        <v>2400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1656031.64</v>
      </c>
      <c r="D81" s="130">
        <f>SUM(D79:D80)+D78+D70</f>
        <v>991.09</v>
      </c>
      <c r="E81" s="130">
        <f>SUM(E79:E80)+E78+E70</f>
        <v>2400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5035</v>
      </c>
      <c r="F87" s="95">
        <f>SUM('DOE25'!I149:I152)</f>
        <v>0</v>
      </c>
      <c r="G87" s="24" t="s">
        <v>288</v>
      </c>
    </row>
    <row r="88" spans="1:9" x14ac:dyDescent="0.2">
      <c r="A88" s="290" t="s">
        <v>747</v>
      </c>
      <c r="B88" s="332" t="s">
        <v>184</v>
      </c>
      <c r="C88" s="333">
        <f>SUM('DOE25'!F153:F162)</f>
        <v>4011.6</v>
      </c>
      <c r="D88" s="333">
        <f>SUM('DOE25'!G153:G162)</f>
        <v>64010.38</v>
      </c>
      <c r="E88" s="333">
        <f>SUM('DOE25'!H153:H162)</f>
        <v>226121.54</v>
      </c>
      <c r="F88" s="333">
        <f>SUM('DOE25'!I153:I162)</f>
        <v>0</v>
      </c>
      <c r="G88" s="24" t="s">
        <v>288</v>
      </c>
    </row>
    <row r="89" spans="1:9" x14ac:dyDescent="0.2">
      <c r="A89" t="s">
        <v>748</v>
      </c>
      <c r="B89" s="32" t="s">
        <v>185</v>
      </c>
      <c r="C89" s="95">
        <f>'DOE25'!F164+'DOE25'!F167+'DOE25'!F169</f>
        <v>7038.29</v>
      </c>
      <c r="D89" s="95">
        <f>'DOE25'!G164+'DOE25'!G169</f>
        <v>0</v>
      </c>
      <c r="E89" s="95">
        <f>'DOE25'!H164+'DOE25'!H169</f>
        <v>0</v>
      </c>
      <c r="F89" s="95">
        <f>'DOE25'!I164</f>
        <v>0</v>
      </c>
      <c r="G89" s="24" t="s">
        <v>288</v>
      </c>
    </row>
    <row r="90" spans="1:9" ht="12" thickBot="1" x14ac:dyDescent="0.25">
      <c r="A90" t="s">
        <v>749</v>
      </c>
      <c r="B90" s="32">
        <v>4810</v>
      </c>
      <c r="C90" s="95">
        <f>'DOE25'!F166</f>
        <v>3350</v>
      </c>
      <c r="D90" s="24" t="s">
        <v>288</v>
      </c>
      <c r="E90" s="24" t="s">
        <v>288</v>
      </c>
      <c r="F90" s="24" t="s">
        <v>288</v>
      </c>
      <c r="G90" s="24" t="s">
        <v>288</v>
      </c>
    </row>
    <row r="91" spans="1:9" ht="12.75" thickTop="1" thickBot="1" x14ac:dyDescent="0.25">
      <c r="A91" s="33" t="s">
        <v>750</v>
      </c>
      <c r="C91" s="131">
        <f>SUM(C85:C90)</f>
        <v>14399.89</v>
      </c>
      <c r="D91" s="131">
        <f>SUM(D85:D90)</f>
        <v>64010.38</v>
      </c>
      <c r="E91" s="131">
        <f>SUM(E85:E90)</f>
        <v>231156.54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11000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72596.539999999994</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72596.539999999994</v>
      </c>
      <c r="G103" s="86">
        <f>SUM(G93:G102)</f>
        <v>11000</v>
      </c>
    </row>
    <row r="104" spans="1:7" ht="12.75" thickTop="1" thickBot="1" x14ac:dyDescent="0.25">
      <c r="A104" s="33" t="s">
        <v>761</v>
      </c>
      <c r="C104" s="86">
        <f>C63+C81+C91+C103</f>
        <v>3596613.1</v>
      </c>
      <c r="D104" s="86">
        <f>D63+D81+D91+D103</f>
        <v>65840.22</v>
      </c>
      <c r="E104" s="86">
        <f>E63+E81+E91+E103</f>
        <v>234314.08000000002</v>
      </c>
      <c r="F104" s="86">
        <f>F63+F81+F91+F103</f>
        <v>72596.539999999994</v>
      </c>
      <c r="G104" s="86">
        <f>G63+G81+G103</f>
        <v>11296.54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1945775.2000000002</v>
      </c>
      <c r="D109" s="24" t="s">
        <v>288</v>
      </c>
      <c r="E109" s="95">
        <f>('DOE25'!L277)+('DOE25'!L296)+('DOE25'!L315)</f>
        <v>111235.12000000001</v>
      </c>
      <c r="F109" s="24" t="s">
        <v>288</v>
      </c>
      <c r="G109" s="24" t="s">
        <v>288</v>
      </c>
    </row>
    <row r="110" spans="1:7" x14ac:dyDescent="0.2">
      <c r="A110" t="s">
        <v>198</v>
      </c>
      <c r="B110" s="32" t="s">
        <v>199</v>
      </c>
      <c r="C110" s="95">
        <f>('DOE25'!L199)+('DOE25'!L217)+('DOE25'!L235)</f>
        <v>275177.93000000005</v>
      </c>
      <c r="D110" s="24" t="s">
        <v>288</v>
      </c>
      <c r="E110" s="95">
        <f>('DOE25'!L278)+('DOE25'!L297)+('DOE25'!L316)</f>
        <v>34224.21</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4815.51</v>
      </c>
      <c r="D112" s="24" t="s">
        <v>288</v>
      </c>
      <c r="E112" s="95">
        <f>+('DOE25'!L280)+('DOE25'!L299)+('DOE25'!L318)</f>
        <v>3126.18</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7106.24</v>
      </c>
      <c r="D114" s="24" t="s">
        <v>288</v>
      </c>
      <c r="E114" s="95">
        <f>+ SUM('DOE25'!L334:L336)</f>
        <v>250</v>
      </c>
      <c r="F114" s="24" t="s">
        <v>288</v>
      </c>
      <c r="G114" s="24" t="s">
        <v>288</v>
      </c>
    </row>
    <row r="115" spans="1:7" ht="12.75" thickTop="1" thickBot="1" x14ac:dyDescent="0.25">
      <c r="A115" s="33" t="s">
        <v>205</v>
      </c>
      <c r="C115" s="86">
        <f>SUM(C109:C114)</f>
        <v>2232874.8800000004</v>
      </c>
      <c r="D115" s="86">
        <f>SUM(D109:D114)</f>
        <v>0</v>
      </c>
      <c r="E115" s="86">
        <f>SUM(E109:E114)</f>
        <v>148835.51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238255.85</v>
      </c>
      <c r="D118" s="24" t="s">
        <v>288</v>
      </c>
      <c r="E118" s="95">
        <f>+('DOE25'!L282)+('DOE25'!L301)+('DOE25'!L320)</f>
        <v>40582</v>
      </c>
      <c r="F118" s="24" t="s">
        <v>288</v>
      </c>
      <c r="G118" s="24" t="s">
        <v>288</v>
      </c>
    </row>
    <row r="119" spans="1:7" x14ac:dyDescent="0.2">
      <c r="A119" t="s">
        <v>208</v>
      </c>
      <c r="B119" s="32" t="s">
        <v>209</v>
      </c>
      <c r="C119" s="95">
        <f>('DOE25'!L204)+('DOE25'!L222)+('DOE25'!L240)</f>
        <v>38158.700000000004</v>
      </c>
      <c r="D119" s="24" t="s">
        <v>288</v>
      </c>
      <c r="E119" s="95">
        <f>+('DOE25'!L283)+('DOE25'!L302)+('DOE25'!L321)</f>
        <v>4178</v>
      </c>
      <c r="F119" s="24" t="s">
        <v>288</v>
      </c>
      <c r="G119" s="24" t="s">
        <v>288</v>
      </c>
    </row>
    <row r="120" spans="1:7" x14ac:dyDescent="0.2">
      <c r="A120" t="s">
        <v>210</v>
      </c>
      <c r="B120" s="32" t="s">
        <v>211</v>
      </c>
      <c r="C120" s="95">
        <f>('DOE25'!L205)+('DOE25'!L223)+('DOE25'!L241)</f>
        <v>166735.25</v>
      </c>
      <c r="D120" s="24" t="s">
        <v>288</v>
      </c>
      <c r="E120" s="95">
        <f>+('DOE25'!L284)+('DOE25'!L303)+('DOE25'!L322)</f>
        <v>0</v>
      </c>
      <c r="F120" s="24" t="s">
        <v>288</v>
      </c>
      <c r="G120" s="24" t="s">
        <v>288</v>
      </c>
    </row>
    <row r="121" spans="1:7" x14ac:dyDescent="0.2">
      <c r="A121" t="s">
        <v>212</v>
      </c>
      <c r="B121" s="32" t="s">
        <v>213</v>
      </c>
      <c r="C121" s="95">
        <f>('DOE25'!L206)+('DOE25'!L224)+('DOE25'!L242)</f>
        <v>174784.35</v>
      </c>
      <c r="D121" s="24" t="s">
        <v>288</v>
      </c>
      <c r="E121" s="95">
        <f>+('DOE25'!L285)+('DOE25'!L304)+('DOE25'!L323)</f>
        <v>3686.54</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217074.31000000003</v>
      </c>
      <c r="D123" s="24" t="s">
        <v>288</v>
      </c>
      <c r="E123" s="95">
        <f>+('DOE25'!L287)+('DOE25'!L306)+('DOE25'!L325)</f>
        <v>22482.100000000002</v>
      </c>
      <c r="F123" s="24" t="s">
        <v>288</v>
      </c>
      <c r="G123" s="24" t="s">
        <v>288</v>
      </c>
    </row>
    <row r="124" spans="1:7" x14ac:dyDescent="0.2">
      <c r="A124" t="s">
        <v>218</v>
      </c>
      <c r="B124" s="32" t="s">
        <v>219</v>
      </c>
      <c r="C124" s="95">
        <f>('DOE25'!L209)+('DOE25'!L227)+('DOE25'!L245+'DOE25'!L255)</f>
        <v>218467.41999999998</v>
      </c>
      <c r="D124" s="24" t="s">
        <v>288</v>
      </c>
      <c r="E124" s="95">
        <f>+('DOE25'!L288)+('DOE25'!L307)+('DOE25'!L326)</f>
        <v>5415.8</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71300.33</v>
      </c>
      <c r="E127" s="24" t="s">
        <v>288</v>
      </c>
      <c r="F127" s="24" t="s">
        <v>288</v>
      </c>
      <c r="G127" s="24" t="s">
        <v>288</v>
      </c>
    </row>
    <row r="128" spans="1:7" ht="12.75" thickTop="1" thickBot="1" x14ac:dyDescent="0.25">
      <c r="A128" s="33" t="s">
        <v>226</v>
      </c>
      <c r="C128" s="86">
        <f>SUM(C118:C127)</f>
        <v>1053475.8800000001</v>
      </c>
      <c r="D128" s="86">
        <f>SUM(D118:D127)</f>
        <v>71300.33</v>
      </c>
      <c r="E128" s="86">
        <f>SUM(E118:E127)</f>
        <v>76344.44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5776.5</v>
      </c>
      <c r="F130" s="129">
        <f>SUM('DOE25'!L375:'DOE25'!L381)</f>
        <v>72596.540000000008</v>
      </c>
      <c r="G130" s="24" t="s">
        <v>288</v>
      </c>
    </row>
    <row r="131" spans="1:7" x14ac:dyDescent="0.2">
      <c r="A131" t="s">
        <v>229</v>
      </c>
      <c r="B131" s="32">
        <v>5110</v>
      </c>
      <c r="C131" s="95">
        <f>'DOE25'!L261</f>
        <v>99000</v>
      </c>
      <c r="D131" s="24" t="s">
        <v>288</v>
      </c>
      <c r="E131" s="129">
        <f>'DOE25'!L342</f>
        <v>0</v>
      </c>
      <c r="F131" s="24" t="s">
        <v>288</v>
      </c>
      <c r="G131" s="24" t="s">
        <v>288</v>
      </c>
    </row>
    <row r="132" spans="1:7" x14ac:dyDescent="0.2">
      <c r="A132" t="s">
        <v>230</v>
      </c>
      <c r="B132" s="32">
        <v>5120</v>
      </c>
      <c r="C132" s="95">
        <f>'DOE25'!L262</f>
        <v>4950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72596.539999999994</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11148.75</v>
      </c>
      <c r="D138" s="24" t="s">
        <v>288</v>
      </c>
      <c r="E138" s="24" t="s">
        <v>288</v>
      </c>
      <c r="F138" s="24" t="s">
        <v>288</v>
      </c>
      <c r="G138" s="24" t="s">
        <v>288</v>
      </c>
    </row>
    <row r="139" spans="1:7" x14ac:dyDescent="0.2">
      <c r="A139" t="s">
        <v>239</v>
      </c>
      <c r="B139" s="32">
        <v>5252</v>
      </c>
      <c r="C139" s="95">
        <f>'DOE25'!L402</f>
        <v>147.79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-296.54000000000087</v>
      </c>
      <c r="D141" s="24" t="s">
        <v>288</v>
      </c>
      <c r="E141" s="24" t="s">
        <v>288</v>
      </c>
      <c r="F141" s="24" t="s">
        <v>288</v>
      </c>
      <c r="G141" s="24" t="s">
        <v>288</v>
      </c>
    </row>
    <row r="142" spans="1:7" x14ac:dyDescent="0.2">
      <c r="A142" t="s">
        <v>241</v>
      </c>
      <c r="B142" s="32">
        <v>5310</v>
      </c>
      <c r="C142" s="129">
        <f>'DOE25'!L269</f>
        <v>7300</v>
      </c>
      <c r="D142" s="24" t="s">
        <v>288</v>
      </c>
      <c r="E142" s="129">
        <f>'DOE25'!L350</f>
        <v>0</v>
      </c>
      <c r="F142" s="24" t="s">
        <v>288</v>
      </c>
      <c r="G142" s="24" t="s">
        <v>288</v>
      </c>
    </row>
    <row r="143" spans="1:7" ht="12" thickBot="1" x14ac:dyDescent="0.25">
      <c r="A143" t="s">
        <v>242</v>
      </c>
      <c r="B143" s="32">
        <v>5390</v>
      </c>
      <c r="C143" s="129">
        <f>'DOE25'!L270</f>
        <v>0</v>
      </c>
      <c r="D143" s="24" t="s">
        <v>288</v>
      </c>
      <c r="E143" s="129">
        <f>'DOE25'!L351</f>
        <v>3357.63</v>
      </c>
      <c r="F143" s="24" t="s">
        <v>288</v>
      </c>
      <c r="G143" s="24" t="s">
        <v>288</v>
      </c>
    </row>
    <row r="144" spans="1:7" ht="12" thickBot="1" x14ac:dyDescent="0.25">
      <c r="A144" s="33" t="s">
        <v>243</v>
      </c>
      <c r="C144" s="141">
        <f>SUM(C130:C143)</f>
        <v>122250</v>
      </c>
      <c r="D144" s="141">
        <f>SUM(D130:D143)</f>
        <v>0</v>
      </c>
      <c r="E144" s="141">
        <f>SUM(E130:E143)</f>
        <v>9134.130000000001</v>
      </c>
      <c r="F144" s="141">
        <f>SUM(F130:F143)</f>
        <v>72596.540000000008</v>
      </c>
      <c r="G144" s="141">
        <f>SUM(G130:G143)</f>
        <v>72596.539999999994</v>
      </c>
    </row>
    <row r="145" spans="1:9" ht="12.75" thickTop="1" thickBot="1" x14ac:dyDescent="0.25">
      <c r="A145" s="33" t="s">
        <v>244</v>
      </c>
      <c r="C145" s="86">
        <f>(C115+C128+C144)</f>
        <v>3408600.7600000007</v>
      </c>
      <c r="D145" s="86">
        <f>(D115+D128+D144)</f>
        <v>71300.33</v>
      </c>
      <c r="E145" s="86">
        <f>(E115+E128+E144)</f>
        <v>234314.08000000002</v>
      </c>
      <c r="F145" s="86">
        <f>(F115+F128+F144)</f>
        <v>72596.540000000008</v>
      </c>
      <c r="G145" s="86">
        <f>(G115+G128+G144)</f>
        <v>72596.539999999994</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5</v>
      </c>
      <c r="C151" s="153">
        <f>'DOE25'!G491</f>
        <v>0</v>
      </c>
      <c r="D151" s="153">
        <f>'DOE25'!H491</f>
        <v>0</v>
      </c>
      <c r="E151" s="153">
        <f>'DOE25'!I491</f>
        <v>0</v>
      </c>
      <c r="F151" s="153">
        <f>'DOE25'!J491</f>
        <v>0</v>
      </c>
      <c r="G151" s="24" t="s">
        <v>288</v>
      </c>
    </row>
    <row r="152" spans="1:9" x14ac:dyDescent="0.2">
      <c r="A152" s="136" t="s">
        <v>28</v>
      </c>
      <c r="B152" s="152" t="str">
        <f>'DOE25'!F492</f>
        <v>06/18</v>
      </c>
      <c r="C152" s="152">
        <f>'DOE25'!G492</f>
        <v>0</v>
      </c>
      <c r="D152" s="152">
        <f>'DOE25'!H492</f>
        <v>0</v>
      </c>
      <c r="E152" s="152">
        <f>'DOE25'!I492</f>
        <v>0</v>
      </c>
      <c r="F152" s="152">
        <f>'DOE25'!J492</f>
        <v>0</v>
      </c>
      <c r="G152" s="24" t="s">
        <v>288</v>
      </c>
    </row>
    <row r="153" spans="1:9" x14ac:dyDescent="0.2">
      <c r="A153" s="136" t="s">
        <v>29</v>
      </c>
      <c r="B153" s="152" t="str">
        <f>'DOE25'!F493</f>
        <v>09/22</v>
      </c>
      <c r="C153" s="152">
        <f>'DOE25'!G493</f>
        <v>0</v>
      </c>
      <c r="D153" s="152">
        <f>'DOE25'!H493</f>
        <v>0</v>
      </c>
      <c r="E153" s="152">
        <f>'DOE25'!I493</f>
        <v>0</v>
      </c>
      <c r="F153" s="152">
        <f>'DOE25'!J493</f>
        <v>0</v>
      </c>
      <c r="G153" s="24" t="s">
        <v>288</v>
      </c>
    </row>
    <row r="154" spans="1:9" x14ac:dyDescent="0.2">
      <c r="A154" s="136" t="s">
        <v>30</v>
      </c>
      <c r="B154" s="137">
        <f>'DOE25'!F494</f>
        <v>495000</v>
      </c>
      <c r="C154" s="137">
        <f>'DOE25'!G494</f>
        <v>0</v>
      </c>
      <c r="D154" s="137">
        <f>'DOE25'!H494</f>
        <v>0</v>
      </c>
      <c r="E154" s="137">
        <f>'DOE25'!I494</f>
        <v>0</v>
      </c>
      <c r="F154" s="137">
        <f>'DOE25'!J494</f>
        <v>0</v>
      </c>
      <c r="G154" s="24" t="s">
        <v>288</v>
      </c>
    </row>
    <row r="155" spans="1:9" x14ac:dyDescent="0.2">
      <c r="A155" s="136" t="s">
        <v>31</v>
      </c>
      <c r="B155" s="137">
        <f>'DOE25'!F495</f>
        <v>0.02</v>
      </c>
      <c r="C155" s="137">
        <f>'DOE25'!G495</f>
        <v>0</v>
      </c>
      <c r="D155" s="137">
        <f>'DOE25'!H495</f>
        <v>0</v>
      </c>
      <c r="E155" s="137">
        <f>'DOE25'!I495</f>
        <v>0</v>
      </c>
      <c r="F155" s="137">
        <f>'DOE25'!J495</f>
        <v>0</v>
      </c>
      <c r="G155" s="24" t="s">
        <v>288</v>
      </c>
    </row>
    <row r="156" spans="1:9" x14ac:dyDescent="0.2">
      <c r="A156" s="22" t="s">
        <v>32</v>
      </c>
      <c r="B156" s="137">
        <f>'DOE25'!F496</f>
        <v>297000</v>
      </c>
      <c r="C156" s="137">
        <f>'DOE25'!G496</f>
        <v>0</v>
      </c>
      <c r="D156" s="137">
        <f>'DOE25'!H496</f>
        <v>0</v>
      </c>
      <c r="E156" s="137">
        <f>'DOE25'!I496</f>
        <v>0</v>
      </c>
      <c r="F156" s="137">
        <f>'DOE25'!J496</f>
        <v>0</v>
      </c>
      <c r="G156" s="138">
        <f>SUM(B156:F156)</f>
        <v>297000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99000</v>
      </c>
      <c r="C158" s="137">
        <f>'DOE25'!G498</f>
        <v>0</v>
      </c>
      <c r="D158" s="137">
        <f>'DOE25'!H498</f>
        <v>0</v>
      </c>
      <c r="E158" s="137">
        <f>'DOE25'!I498</f>
        <v>0</v>
      </c>
      <c r="F158" s="137">
        <f>'DOE25'!J498</f>
        <v>0</v>
      </c>
      <c r="G158" s="138">
        <f t="shared" si="0"/>
        <v>99000</v>
      </c>
    </row>
    <row r="159" spans="1:9" x14ac:dyDescent="0.2">
      <c r="A159" s="22" t="s">
        <v>35</v>
      </c>
      <c r="B159" s="137">
        <f>'DOE25'!F499</f>
        <v>198000</v>
      </c>
      <c r="C159" s="137">
        <f>'DOE25'!G499</f>
        <v>0</v>
      </c>
      <c r="D159" s="137">
        <f>'DOE25'!H499</f>
        <v>0</v>
      </c>
      <c r="E159" s="137">
        <f>'DOE25'!I499</f>
        <v>0</v>
      </c>
      <c r="F159" s="137">
        <f>'DOE25'!J499</f>
        <v>0</v>
      </c>
      <c r="G159" s="138">
        <f t="shared" si="0"/>
        <v>198000</v>
      </c>
    </row>
    <row r="160" spans="1:9" x14ac:dyDescent="0.2">
      <c r="A160" s="22" t="s">
        <v>36</v>
      </c>
      <c r="B160" s="137">
        <f>'DOE25'!F500</f>
        <v>3960</v>
      </c>
      <c r="C160" s="137">
        <f>'DOE25'!G500</f>
        <v>0</v>
      </c>
      <c r="D160" s="137">
        <f>'DOE25'!H500</f>
        <v>0</v>
      </c>
      <c r="E160" s="137">
        <f>'DOE25'!I500</f>
        <v>0</v>
      </c>
      <c r="F160" s="137">
        <f>'DOE25'!J500</f>
        <v>0</v>
      </c>
      <c r="G160" s="138">
        <f t="shared" si="0"/>
        <v>3960</v>
      </c>
    </row>
    <row r="161" spans="1:7" x14ac:dyDescent="0.2">
      <c r="A161" s="22" t="s">
        <v>37</v>
      </c>
      <c r="B161" s="137">
        <f>'DOE25'!F501</f>
        <v>201960</v>
      </c>
      <c r="C161" s="137">
        <f>'DOE25'!G501</f>
        <v>0</v>
      </c>
      <c r="D161" s="137">
        <f>'DOE25'!H501</f>
        <v>0</v>
      </c>
      <c r="E161" s="137">
        <f>'DOE25'!I501</f>
        <v>0</v>
      </c>
      <c r="F161" s="137">
        <f>'DOE25'!J501</f>
        <v>0</v>
      </c>
      <c r="G161" s="138">
        <f t="shared" si="0"/>
        <v>201960</v>
      </c>
    </row>
    <row r="162" spans="1:7" x14ac:dyDescent="0.2">
      <c r="A162" s="22" t="s">
        <v>38</v>
      </c>
      <c r="B162" s="137">
        <f>'DOE25'!F502</f>
        <v>99000</v>
      </c>
      <c r="C162" s="137">
        <f>'DOE25'!G502</f>
        <v>0</v>
      </c>
      <c r="D162" s="137">
        <f>'DOE25'!H502</f>
        <v>0</v>
      </c>
      <c r="E162" s="137">
        <f>'DOE25'!I502</f>
        <v>0</v>
      </c>
      <c r="F162" s="137">
        <f>'DOE25'!J502</f>
        <v>0</v>
      </c>
      <c r="G162" s="138">
        <f t="shared" si="0"/>
        <v>99000</v>
      </c>
    </row>
    <row r="163" spans="1:7" x14ac:dyDescent="0.2">
      <c r="A163" s="22" t="s">
        <v>39</v>
      </c>
      <c r="B163" s="137">
        <f>'DOE25'!F503</f>
        <v>2970</v>
      </c>
      <c r="C163" s="137">
        <f>'DOE25'!G503</f>
        <v>0</v>
      </c>
      <c r="D163" s="137">
        <f>'DOE25'!H503</f>
        <v>0</v>
      </c>
      <c r="E163" s="137">
        <f>'DOE25'!I503</f>
        <v>0</v>
      </c>
      <c r="F163" s="137">
        <f>'DOE25'!J503</f>
        <v>0</v>
      </c>
      <c r="G163" s="138">
        <f t="shared" si="0"/>
        <v>2970</v>
      </c>
    </row>
    <row r="164" spans="1:7" x14ac:dyDescent="0.2">
      <c r="A164" s="22" t="s">
        <v>246</v>
      </c>
      <c r="B164" s="137">
        <f>'DOE25'!F504</f>
        <v>101970</v>
      </c>
      <c r="C164" s="137">
        <f>'DOE25'!G504</f>
        <v>0</v>
      </c>
      <c r="D164" s="137">
        <f>'DOE25'!H504</f>
        <v>0</v>
      </c>
      <c r="E164" s="137">
        <f>'DOE25'!I504</f>
        <v>0</v>
      </c>
      <c r="F164" s="137">
        <f>'DOE25'!J504</f>
        <v>0</v>
      </c>
      <c r="G164" s="138">
        <f t="shared" si="0"/>
        <v>101970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Milan</v>
      </c>
    </row>
    <row r="3" spans="1:4" x14ac:dyDescent="0.2">
      <c r="B3" s="188" t="s">
        <v>1666</v>
      </c>
    </row>
    <row r="4" spans="1:4" x14ac:dyDescent="0.2">
      <c r="B4" t="s">
        <v>61</v>
      </c>
      <c r="C4" s="179">
        <f>IF('DOE25'!F666+'DOE25'!F671=0,0,ROUND('DOE25'!F673,0))</f>
        <v>18548</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18548</v>
      </c>
    </row>
    <row r="9" spans="1:4" x14ac:dyDescent="0.2">
      <c r="A9" s="187" t="s">
        <v>94</v>
      </c>
      <c r="B9" s="188" t="s">
        <v>1671</v>
      </c>
      <c r="C9" s="181" t="s">
        <v>720</v>
      </c>
      <c r="D9" s="181" t="s">
        <v>721</v>
      </c>
    </row>
    <row r="10" spans="1:4" x14ac:dyDescent="0.2">
      <c r="A10">
        <v>1100</v>
      </c>
      <c r="B10" t="s">
        <v>702</v>
      </c>
      <c r="C10" s="179">
        <f>ROUND('DOE25'!L198+'DOE25'!L216+'DOE25'!L234+'DOE25'!L277+'DOE25'!L296+'DOE25'!L315,0)</f>
        <v>2057010</v>
      </c>
      <c r="D10" s="182">
        <f>ROUND((C10/$C$28)*100,1)</f>
        <v>57.2</v>
      </c>
    </row>
    <row r="11" spans="1:4" x14ac:dyDescent="0.2">
      <c r="A11">
        <v>1200</v>
      </c>
      <c r="B11" t="s">
        <v>703</v>
      </c>
      <c r="C11" s="179">
        <f>ROUND('DOE25'!L199+'DOE25'!L217+'DOE25'!L235+'DOE25'!L278+'DOE25'!L297+'DOE25'!L316,0)</f>
        <v>309402</v>
      </c>
      <c r="D11" s="182">
        <f>ROUND((C11/$C$28)*100,1)</f>
        <v>8.6</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7942</v>
      </c>
      <c r="D13" s="182">
        <f>ROUND((C13/$C$28)*100,1)</f>
        <v>0.2</v>
      </c>
    </row>
    <row r="14" spans="1:4" x14ac:dyDescent="0.2">
      <c r="D14" s="182"/>
    </row>
    <row r="15" spans="1:4" x14ac:dyDescent="0.2">
      <c r="A15">
        <v>2100</v>
      </c>
      <c r="B15" t="s">
        <v>706</v>
      </c>
      <c r="C15" s="179">
        <f>ROUND('DOE25'!L203+'DOE25'!L221+'DOE25'!L239+'DOE25'!L282+'DOE25'!L301+'DOE25'!L320,0)</f>
        <v>278838</v>
      </c>
      <c r="D15" s="182">
        <f t="shared" ref="D15:D27" si="0">ROUND((C15/$C$28)*100,1)</f>
        <v>7.8</v>
      </c>
    </row>
    <row r="16" spans="1:4" x14ac:dyDescent="0.2">
      <c r="A16">
        <v>2200</v>
      </c>
      <c r="B16" t="s">
        <v>707</v>
      </c>
      <c r="C16" s="179">
        <f>ROUND('DOE25'!L204+'DOE25'!L222+'DOE25'!L240+'DOE25'!L283+'DOE25'!L302+'DOE25'!L321,0)</f>
        <v>42337</v>
      </c>
      <c r="D16" s="182">
        <f t="shared" si="0"/>
        <v>1.2</v>
      </c>
    </row>
    <row r="17" spans="1:4" x14ac:dyDescent="0.2">
      <c r="A17" s="183" t="s">
        <v>723</v>
      </c>
      <c r="B17" t="s">
        <v>738</v>
      </c>
      <c r="C17" s="179">
        <f>ROUND('DOE25'!L205+'DOE25'!L210+'DOE25'!L223+'DOE25'!L228+'DOE25'!L241+'DOE25'!L246+'DOE25'!L284+'DOE25'!L289+'DOE25'!L303+'DOE25'!L308+'DOE25'!L322+'DOE25'!L327,0)</f>
        <v>166735</v>
      </c>
      <c r="D17" s="182">
        <f t="shared" si="0"/>
        <v>4.5999999999999996</v>
      </c>
    </row>
    <row r="18" spans="1:4" x14ac:dyDescent="0.2">
      <c r="A18">
        <v>2400</v>
      </c>
      <c r="B18" t="s">
        <v>711</v>
      </c>
      <c r="C18" s="179">
        <f>ROUND('DOE25'!L206+'DOE25'!L224+'DOE25'!L242+'DOE25'!L285+'DOE25'!L304+'DOE25'!L323,0)</f>
        <v>178471</v>
      </c>
      <c r="D18" s="182">
        <f t="shared" si="0"/>
        <v>5</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239556</v>
      </c>
      <c r="D20" s="182">
        <f t="shared" si="0"/>
        <v>6.7</v>
      </c>
    </row>
    <row r="21" spans="1:4" x14ac:dyDescent="0.2">
      <c r="A21">
        <v>2700</v>
      </c>
      <c r="B21" t="s">
        <v>710</v>
      </c>
      <c r="C21" s="179">
        <f>ROUND('DOE25'!L209+'DOE25'!L227+'DOE25'!L245+'DOE25'!L288+'DOE25'!L307+'DOE25'!L326,0)</f>
        <v>223883</v>
      </c>
      <c r="D21" s="182">
        <f t="shared" si="0"/>
        <v>6.2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7356</v>
      </c>
      <c r="D24" s="182">
        <f t="shared" si="0"/>
        <v>0.2</v>
      </c>
    </row>
    <row r="25" spans="1:4" x14ac:dyDescent="0.2">
      <c r="A25">
        <v>5120</v>
      </c>
      <c r="B25" t="s">
        <v>716</v>
      </c>
      <c r="C25" s="179">
        <f>ROUND('DOE25'!L262+'DOE25'!L343,0)</f>
        <v>4950</v>
      </c>
      <c r="D25" s="182">
        <f t="shared" si="0"/>
        <v>0.1</v>
      </c>
    </row>
    <row r="26" spans="1:4" x14ac:dyDescent="0.2">
      <c r="A26" s="183" t="s">
        <v>717</v>
      </c>
      <c r="B26" t="s">
        <v>718</v>
      </c>
      <c r="C26" s="179">
        <f>'DOE25'!L269+'DOE25'!L270+'DOE25'!L350+'DOE25'!L351</f>
        <v>10657.630000000001</v>
      </c>
      <c r="D26" s="182">
        <f t="shared" si="0"/>
        <v>0.3</v>
      </c>
    </row>
    <row r="27" spans="1:4" x14ac:dyDescent="0.2">
      <c r="A27">
        <v>3100</v>
      </c>
      <c r="B27" t="s">
        <v>11</v>
      </c>
      <c r="C27" s="179">
        <f>ROUND('DOE25'!L363-'DOE25'!L362,0)-SUM('DOE25'!G97:G110)</f>
        <v>70461.25</v>
      </c>
      <c r="D27" s="182">
        <f t="shared" si="0"/>
        <v>2</v>
      </c>
    </row>
    <row r="28" spans="1:4" x14ac:dyDescent="0.2">
      <c r="B28" s="187" t="s">
        <v>719</v>
      </c>
      <c r="C28" s="180">
        <f>SUM(C10:C27)</f>
        <v>3597598.88</v>
      </c>
      <c r="D28" s="184">
        <f>ROUND(SUM(D10:D27),0)</f>
        <v>100</v>
      </c>
    </row>
    <row r="29" spans="1:4" x14ac:dyDescent="0.2">
      <c r="A29">
        <v>4000</v>
      </c>
      <c r="B29" t="s">
        <v>724</v>
      </c>
      <c r="C29" s="179">
        <f>ROUND('DOE25'!L256+'DOE25'!L337+'DOE25'!L375+'DOE25'!L376+'DOE25'!L377+'DOE25'!L378+'DOE25'!L379+'DOE25'!L380+'DOE25'!L381,0)</f>
        <v>78373</v>
      </c>
    </row>
    <row r="30" spans="1:4" x14ac:dyDescent="0.2">
      <c r="B30" s="187" t="s">
        <v>725</v>
      </c>
      <c r="C30" s="180">
        <f>SUM(C28:C29)</f>
        <v>3675971.88</v>
      </c>
    </row>
    <row r="31" spans="1:4" x14ac:dyDescent="0.2">
      <c r="B31" s="33"/>
      <c r="C31" s="180"/>
    </row>
    <row r="32" spans="1:4" x14ac:dyDescent="0.2">
      <c r="A32">
        <v>5100</v>
      </c>
      <c r="B32" s="33" t="s">
        <v>726</v>
      </c>
      <c r="C32" s="180">
        <f>ROUND('DOE25'!L261+'DOE25'!L342,0)</f>
        <v>99000</v>
      </c>
    </row>
    <row r="34" spans="1:4" x14ac:dyDescent="0.2">
      <c r="A34" s="187" t="s">
        <v>94</v>
      </c>
      <c r="B34" s="188" t="s">
        <v>1667</v>
      </c>
      <c r="C34" s="181" t="s">
        <v>720</v>
      </c>
      <c r="D34" s="181" t="s">
        <v>721</v>
      </c>
    </row>
    <row r="35" spans="1:4" x14ac:dyDescent="0.2">
      <c r="A35">
        <v>1100</v>
      </c>
      <c r="B35" s="185" t="s">
        <v>727</v>
      </c>
      <c r="C35" s="179">
        <f>ROUND('DOE25'!F60+'DOE25'!G60+'DOE25'!H60+'DOE25'!I60+'DOE25'!J60,0)</f>
        <v>1754779</v>
      </c>
      <c r="D35" s="182">
        <f t="shared" ref="D35:D40" si="1">ROUND((C35/$C$41)*100,1)</f>
        <v>45</v>
      </c>
    </row>
    <row r="36" spans="1:4" x14ac:dyDescent="0.2">
      <c r="B36" s="185" t="s">
        <v>739</v>
      </c>
      <c r="C36" s="179">
        <f>SUM('DOE25'!F112:J112)-SUM('DOE25'!G97:G110)+('DOE25'!F175+'DOE25'!F176+'DOE25'!I175+'DOE25'!I176)-C35</f>
        <v>172456.65000000014</v>
      </c>
      <c r="D36" s="182">
        <f t="shared" si="1"/>
        <v>4.4000000000000004</v>
      </c>
    </row>
    <row r="37" spans="1:4" x14ac:dyDescent="0.2">
      <c r="A37" s="183" t="s">
        <v>835</v>
      </c>
      <c r="B37" s="185" t="s">
        <v>728</v>
      </c>
      <c r="C37" s="179">
        <f>ROUND('DOE25'!F117+'DOE25'!F118,0)</f>
        <v>1656032</v>
      </c>
      <c r="D37" s="182">
        <f t="shared" si="1"/>
        <v>42.5</v>
      </c>
    </row>
    <row r="38" spans="1:4" x14ac:dyDescent="0.2">
      <c r="A38" s="183" t="s">
        <v>734</v>
      </c>
      <c r="B38" s="185" t="s">
        <v>729</v>
      </c>
      <c r="C38" s="179">
        <f>ROUND(SUM('DOE25'!F140:J140)-SUM('DOE25'!F117:F119),0)</f>
        <v>3391</v>
      </c>
      <c r="D38" s="182">
        <f t="shared" si="1"/>
        <v>0.1</v>
      </c>
    </row>
    <row r="39" spans="1:4" x14ac:dyDescent="0.2">
      <c r="A39">
        <v>4000</v>
      </c>
      <c r="B39" s="185" t="s">
        <v>730</v>
      </c>
      <c r="C39" s="179">
        <f>ROUND('DOE25'!F170+'DOE25'!G170+'DOE25'!H170+'DOE25'!I170,0)</f>
        <v>309567</v>
      </c>
      <c r="D39" s="182">
        <f t="shared" si="1"/>
        <v>7.9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3896225.6500000004</v>
      </c>
      <c r="D41" s="184">
        <f>SUM(D35:D40)</f>
        <v>99.9</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5" sqref="C15:M15"/>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Milan</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c r="B4" s="219"/>
      <c r="C4" s="376" t="s">
        <v>1674</v>
      </c>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t="s">
        <v>1675</v>
      </c>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t="s">
        <v>1679</v>
      </c>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v>1</v>
      </c>
      <c r="B7" s="219" t="s">
        <v>1678</v>
      </c>
      <c r="C7" s="376" t="s">
        <v>1676</v>
      </c>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t="s">
        <v>1677</v>
      </c>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v>4</v>
      </c>
      <c r="B9" s="219">
        <v>15</v>
      </c>
      <c r="C9" s="376" t="s">
        <v>1680</v>
      </c>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v>5</v>
      </c>
      <c r="B10" s="219">
        <v>11</v>
      </c>
      <c r="C10" s="376" t="s">
        <v>1681</v>
      </c>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v>19</v>
      </c>
      <c r="B11" s="219">
        <v>2</v>
      </c>
      <c r="C11" s="376" t="s">
        <v>1682</v>
      </c>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2021-12-21T13:25:14Z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