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54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469" i="1" l="1"/>
  <c r="H162" i="1"/>
  <c r="H539" i="1" l="1"/>
  <c r="H538" i="1"/>
  <c r="H537" i="1"/>
  <c r="B10" i="12" l="1"/>
  <c r="J466" i="1" l="1"/>
  <c r="J470" i="1"/>
  <c r="H466" i="1"/>
  <c r="H13" i="1"/>
  <c r="H12" i="1"/>
  <c r="I612" i="1" l="1"/>
  <c r="G612" i="1"/>
  <c r="F614" i="1"/>
  <c r="F613" i="1"/>
  <c r="F612" i="1"/>
  <c r="H585" i="1"/>
  <c r="H583" i="1"/>
  <c r="G583" i="1"/>
  <c r="F583" i="1"/>
  <c r="K569" i="1"/>
  <c r="K568" i="1"/>
  <c r="I568" i="1"/>
  <c r="G568" i="1"/>
  <c r="F568" i="1"/>
  <c r="H565" i="1"/>
  <c r="H564" i="1"/>
  <c r="H563" i="1"/>
  <c r="G565" i="1"/>
  <c r="G564" i="1"/>
  <c r="G563" i="1"/>
  <c r="F565" i="1"/>
  <c r="F564" i="1"/>
  <c r="F563" i="1"/>
  <c r="I563" i="1"/>
  <c r="I558" i="1"/>
  <c r="H558" i="1"/>
  <c r="G558" i="1"/>
  <c r="F558" i="1"/>
  <c r="G524" i="1" l="1"/>
  <c r="G523" i="1"/>
  <c r="G522" i="1"/>
  <c r="G534" i="1"/>
  <c r="G533" i="1"/>
  <c r="G532" i="1"/>
  <c r="G529" i="1"/>
  <c r="G528" i="1"/>
  <c r="G527" i="1"/>
  <c r="K534" i="1" l="1"/>
  <c r="I534" i="1"/>
  <c r="H534" i="1"/>
  <c r="F534" i="1"/>
  <c r="K529" i="1"/>
  <c r="J529" i="1"/>
  <c r="I529" i="1"/>
  <c r="H529" i="1"/>
  <c r="F529" i="1"/>
  <c r="J524" i="1"/>
  <c r="I524" i="1"/>
  <c r="H524" i="1"/>
  <c r="F524" i="1"/>
  <c r="K533" i="1"/>
  <c r="I533" i="1"/>
  <c r="H533" i="1"/>
  <c r="F533" i="1"/>
  <c r="J528" i="1"/>
  <c r="I528" i="1"/>
  <c r="H528" i="1"/>
  <c r="F528" i="1"/>
  <c r="J523" i="1"/>
  <c r="I523" i="1"/>
  <c r="H523" i="1"/>
  <c r="F523" i="1"/>
  <c r="K532" i="1"/>
  <c r="I532" i="1"/>
  <c r="H532" i="1"/>
  <c r="F532" i="1"/>
  <c r="J527" i="1"/>
  <c r="I527" i="1"/>
  <c r="H527" i="1"/>
  <c r="F527" i="1"/>
  <c r="J522" i="1"/>
  <c r="I522" i="1"/>
  <c r="H522" i="1"/>
  <c r="F522" i="1"/>
  <c r="F544" i="1" l="1"/>
  <c r="F543" i="1"/>
  <c r="F542" i="1"/>
  <c r="H605" i="1" l="1"/>
  <c r="J605" i="1"/>
  <c r="I605" i="1"/>
  <c r="F277" i="1"/>
  <c r="J322" i="1"/>
  <c r="J318" i="1"/>
  <c r="J316" i="1"/>
  <c r="J315" i="1"/>
  <c r="I322" i="1"/>
  <c r="I321" i="1"/>
  <c r="I320" i="1"/>
  <c r="I316" i="1"/>
  <c r="I315" i="1"/>
  <c r="H326" i="1"/>
  <c r="H323" i="1"/>
  <c r="H322" i="1"/>
  <c r="H321" i="1"/>
  <c r="H320" i="1"/>
  <c r="H316" i="1"/>
  <c r="G321" i="1"/>
  <c r="G316" i="1"/>
  <c r="F321" i="1"/>
  <c r="F316" i="1"/>
  <c r="F315" i="1"/>
  <c r="J303" i="1"/>
  <c r="J299" i="1"/>
  <c r="J297" i="1"/>
  <c r="J296" i="1"/>
  <c r="I303" i="1"/>
  <c r="I302" i="1"/>
  <c r="I301" i="1"/>
  <c r="I297" i="1"/>
  <c r="I296" i="1"/>
  <c r="H307" i="1"/>
  <c r="H304" i="1"/>
  <c r="H303" i="1"/>
  <c r="H302" i="1"/>
  <c r="H301" i="1"/>
  <c r="H297" i="1"/>
  <c r="G302" i="1"/>
  <c r="G297" i="1"/>
  <c r="F302" i="1"/>
  <c r="F297" i="1"/>
  <c r="F296" i="1"/>
  <c r="J284" i="1"/>
  <c r="J278" i="1"/>
  <c r="J280" i="1"/>
  <c r="J277" i="1"/>
  <c r="I284" i="1"/>
  <c r="I283" i="1"/>
  <c r="I282" i="1"/>
  <c r="I278" i="1"/>
  <c r="I277" i="1"/>
  <c r="H288" i="1"/>
  <c r="H285" i="1"/>
  <c r="H284" i="1"/>
  <c r="H283" i="1"/>
  <c r="H282" i="1"/>
  <c r="H278" i="1"/>
  <c r="G283" i="1"/>
  <c r="G278" i="1"/>
  <c r="F283" i="1"/>
  <c r="F278" i="1"/>
  <c r="I326" i="1" l="1"/>
  <c r="G315" i="1"/>
  <c r="H318" i="1"/>
  <c r="H299" i="1"/>
  <c r="H280" i="1"/>
  <c r="K317" i="1"/>
  <c r="J317" i="1"/>
  <c r="I317" i="1"/>
  <c r="H317" i="1"/>
  <c r="H325" i="1"/>
  <c r="G317" i="1"/>
  <c r="F317" i="1"/>
  <c r="K307" i="1"/>
  <c r="I307" i="1"/>
  <c r="H306" i="1"/>
  <c r="F307" i="1"/>
  <c r="H287" i="1"/>
  <c r="G284" i="1"/>
  <c r="G280" i="1"/>
  <c r="G277" i="1"/>
  <c r="I280" i="1"/>
  <c r="F284" i="1"/>
  <c r="F280" i="1"/>
  <c r="J592" i="1" l="1"/>
  <c r="I592" i="1"/>
  <c r="G369" i="1"/>
  <c r="H369" i="1"/>
  <c r="F369" i="1"/>
  <c r="G368" i="1"/>
  <c r="H368" i="1"/>
  <c r="F368" i="1"/>
  <c r="K361" i="1"/>
  <c r="K360" i="1"/>
  <c r="K359" i="1"/>
  <c r="I360" i="1"/>
  <c r="I361" i="1"/>
  <c r="I359" i="1"/>
  <c r="G360" i="1"/>
  <c r="G361" i="1"/>
  <c r="G359" i="1"/>
  <c r="F360" i="1"/>
  <c r="F361" i="1"/>
  <c r="F359" i="1"/>
  <c r="G198" i="1"/>
  <c r="K243" i="1"/>
  <c r="K241" i="1"/>
  <c r="K240" i="1"/>
  <c r="K225" i="1"/>
  <c r="K223" i="1"/>
  <c r="K222" i="1"/>
  <c r="K207" i="1"/>
  <c r="K205" i="1"/>
  <c r="K204" i="1"/>
  <c r="J246" i="1"/>
  <c r="J244" i="1"/>
  <c r="J241" i="1"/>
  <c r="J239" i="1"/>
  <c r="J235" i="1"/>
  <c r="J228" i="1"/>
  <c r="J226" i="1"/>
  <c r="J222" i="1"/>
  <c r="J221" i="1"/>
  <c r="J217" i="1"/>
  <c r="J210" i="1"/>
  <c r="J208" i="1"/>
  <c r="J205" i="1"/>
  <c r="J203" i="1"/>
  <c r="J199" i="1"/>
  <c r="I246" i="1"/>
  <c r="I244" i="1"/>
  <c r="I243" i="1"/>
  <c r="I241" i="1"/>
  <c r="I240" i="1"/>
  <c r="I239" i="1"/>
  <c r="I235" i="1"/>
  <c r="I228" i="1"/>
  <c r="I226" i="1"/>
  <c r="I225" i="1"/>
  <c r="I223" i="1"/>
  <c r="I222" i="1"/>
  <c r="I221" i="1"/>
  <c r="I217" i="1"/>
  <c r="I210" i="1"/>
  <c r="I208" i="1"/>
  <c r="I207" i="1"/>
  <c r="I205" i="1"/>
  <c r="I204" i="1"/>
  <c r="I203" i="1"/>
  <c r="I199" i="1"/>
  <c r="H246" i="1"/>
  <c r="H245" i="1"/>
  <c r="H244" i="1"/>
  <c r="H241" i="1"/>
  <c r="H240" i="1"/>
  <c r="H239" i="1"/>
  <c r="H235" i="1"/>
  <c r="H228" i="1"/>
  <c r="H227" i="1"/>
  <c r="H226" i="1"/>
  <c r="H223" i="1"/>
  <c r="H222" i="1"/>
  <c r="H221" i="1"/>
  <c r="H217" i="1"/>
  <c r="H210" i="1"/>
  <c r="H209" i="1"/>
  <c r="H208" i="1"/>
  <c r="H205" i="1"/>
  <c r="H204" i="1"/>
  <c r="H203" i="1"/>
  <c r="H199" i="1"/>
  <c r="F246" i="1"/>
  <c r="F244" i="1"/>
  <c r="F243" i="1"/>
  <c r="F241" i="1"/>
  <c r="F240" i="1"/>
  <c r="F239" i="1"/>
  <c r="F237" i="1"/>
  <c r="F235" i="1"/>
  <c r="F234" i="1"/>
  <c r="F242" i="1"/>
  <c r="F236" i="1"/>
  <c r="F228" i="1"/>
  <c r="F226" i="1"/>
  <c r="F225" i="1"/>
  <c r="F223" i="1"/>
  <c r="F222" i="1"/>
  <c r="F221" i="1"/>
  <c r="F219" i="1"/>
  <c r="F217" i="1"/>
  <c r="F216" i="1"/>
  <c r="F210" i="1"/>
  <c r="F208" i="1"/>
  <c r="F207" i="1"/>
  <c r="F205" i="1"/>
  <c r="F204" i="1"/>
  <c r="F203" i="1"/>
  <c r="F201" i="1"/>
  <c r="F199" i="1"/>
  <c r="F198" i="1"/>
  <c r="G246" i="1" l="1"/>
  <c r="G244" i="1"/>
  <c r="G242" i="1"/>
  <c r="G241" i="1"/>
  <c r="G240" i="1"/>
  <c r="G239" i="1"/>
  <c r="G237" i="1"/>
  <c r="G236" i="1"/>
  <c r="G235" i="1"/>
  <c r="G234" i="1"/>
  <c r="G228" i="1"/>
  <c r="G226" i="1"/>
  <c r="G224" i="1"/>
  <c r="G223" i="1"/>
  <c r="G222" i="1"/>
  <c r="G221" i="1"/>
  <c r="G219" i="1"/>
  <c r="G217" i="1"/>
  <c r="G216" i="1"/>
  <c r="G210" i="1"/>
  <c r="G208" i="1"/>
  <c r="G206" i="1"/>
  <c r="G205" i="1"/>
  <c r="G204" i="1"/>
  <c r="G203" i="1"/>
  <c r="G201" i="1"/>
  <c r="G199" i="1"/>
  <c r="J469" i="1" l="1"/>
  <c r="J594" i="1" l="1"/>
  <c r="J593" i="1"/>
  <c r="J595" i="1"/>
  <c r="I595" i="1"/>
  <c r="I593" i="1"/>
  <c r="H593" i="1"/>
  <c r="K242" i="1" l="1"/>
  <c r="K239" i="1"/>
  <c r="K237" i="1"/>
  <c r="K236" i="1"/>
  <c r="K234" i="1"/>
  <c r="J242" i="1"/>
  <c r="J240" i="1"/>
  <c r="J237" i="1"/>
  <c r="J236" i="1"/>
  <c r="J234" i="1"/>
  <c r="I242" i="1"/>
  <c r="I237" i="1"/>
  <c r="I236" i="1"/>
  <c r="I234" i="1"/>
  <c r="H242" i="1"/>
  <c r="H237" i="1"/>
  <c r="H236" i="1"/>
  <c r="H234" i="1"/>
  <c r="K224" i="1"/>
  <c r="K219" i="1"/>
  <c r="K216" i="1"/>
  <c r="J224" i="1"/>
  <c r="J219" i="1"/>
  <c r="J216" i="1"/>
  <c r="I224" i="1"/>
  <c r="I219" i="1"/>
  <c r="I216" i="1"/>
  <c r="H224" i="1"/>
  <c r="H219" i="1"/>
  <c r="H216" i="1"/>
  <c r="F224" i="1"/>
  <c r="K206" i="1"/>
  <c r="K198" i="1"/>
  <c r="J204" i="1"/>
  <c r="J198" i="1"/>
  <c r="I206" i="1"/>
  <c r="I198" i="1"/>
  <c r="H206" i="1"/>
  <c r="H198" i="1"/>
  <c r="F206" i="1"/>
  <c r="H48" i="1" l="1"/>
  <c r="H14" i="1"/>
  <c r="H22" i="1"/>
  <c r="G132" i="1"/>
  <c r="G158"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E112" i="2"/>
  <c r="D115" i="2"/>
  <c r="F115" i="2"/>
  <c r="G115" i="2"/>
  <c r="E121"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3" i="1"/>
  <c r="H653" i="1"/>
  <c r="G654" i="1"/>
  <c r="H654" i="1"/>
  <c r="G655" i="1"/>
  <c r="H655" i="1"/>
  <c r="H656" i="1"/>
  <c r="I170" i="1"/>
  <c r="G409" i="1" l="1"/>
  <c r="H646" i="1" s="1"/>
  <c r="G477" i="1"/>
  <c r="K339" i="1"/>
  <c r="K353" i="1" s="1"/>
  <c r="C12" i="10"/>
  <c r="G553" i="1"/>
  <c r="E120" i="2"/>
  <c r="E110" i="2"/>
  <c r="E119" i="2"/>
  <c r="E128" i="2" s="1"/>
  <c r="G339" i="1"/>
  <c r="G353" i="1" s="1"/>
  <c r="E111" i="2"/>
  <c r="E123" i="2"/>
  <c r="G662" i="1"/>
  <c r="C125" i="2"/>
  <c r="C120" i="2"/>
  <c r="J656" i="1"/>
  <c r="G646" i="1"/>
  <c r="G62" i="2"/>
  <c r="J652" i="1"/>
  <c r="J258" i="1"/>
  <c r="J272" i="1" s="1"/>
  <c r="A40" i="12"/>
  <c r="C119" i="2"/>
  <c r="D15" i="13"/>
  <c r="C15" i="13" s="1"/>
  <c r="H663" i="1"/>
  <c r="D6" i="13"/>
  <c r="C6" i="13" s="1"/>
  <c r="E13" i="13"/>
  <c r="C13" i="13" s="1"/>
  <c r="C121" i="2"/>
  <c r="H409" i="1"/>
  <c r="H645" i="1" s="1"/>
  <c r="J645" i="1" s="1"/>
  <c r="H477" i="1"/>
  <c r="H625" i="1" s="1"/>
  <c r="J625"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94" i="1" l="1"/>
  <c r="G630" i="1" s="1"/>
  <c r="J630" i="1" s="1"/>
  <c r="E115" i="2"/>
  <c r="E145" i="2" s="1"/>
  <c r="H649" i="1"/>
  <c r="J649" i="1" s="1"/>
  <c r="H661" i="1"/>
  <c r="H665" i="1" s="1"/>
  <c r="H668" i="1" s="1"/>
  <c r="E51" i="2"/>
  <c r="C81" i="2"/>
  <c r="F194" i="1"/>
  <c r="G628" i="1" s="1"/>
  <c r="J628" i="1" s="1"/>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<sst xmlns="http://schemas.openxmlformats.org/spreadsheetml/2006/main" count="5587" uniqueCount="1682">
  <si>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</si>
  <si>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</si>
  <si>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</si>
  <si>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</si>
  <si>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</si>
  <si>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</si>
  <si>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</si>
  <si>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</si>
  <si>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</si>
  <si>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</si>
  <si>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</si>
  <si>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</si>
  <si>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</si>
  <si>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</si>
  <si>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</si>
  <si>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</si>
  <si>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</si>
  <si>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</si>
  <si>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</si>
  <si>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</si>
  <si>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</si>
  <si>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</si>
  <si>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</si>
  <si>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</si>
  <si>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</si>
  <si>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</si>
  <si>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</si>
  <si>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</si>
  <si>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</si>
  <si>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</si>
  <si>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</si>
  <si>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</si>
  <si>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</si>
  <si>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</si>
  <si>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</si>
  <si>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</si>
  <si>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</si>
  <si>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</si>
  <si>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</si>
  <si>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</si>
  <si>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</si>
  <si>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</si>
  <si>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</si>
  <si>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</si>
  <si>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</si>
  <si>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</si>
  <si>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</si>
  <si>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</si>
  <si>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</si>
  <si>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</si>
  <si>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</si>
  <si>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</si>
  <si>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</si>
  <si>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</si>
  <si>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</si>
  <si>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</si>
  <si>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</si>
  <si>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</si>
  <si>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</si>
  <si>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</si>
  <si>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</si>
  <si>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</si>
  <si>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</si>
  <si>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</si>
  <si>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</si>
  <si>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</si>
  <si>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</si>
  <si>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</si>
  <si>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</si>
  <si>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</si>
  <si>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</si>
  <si>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</si>
  <si>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</si>
  <si>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</si>
  <si>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</si>
  <si>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</si>
  <si>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</si>
  <si>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</si>
  <si>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</si>
  <si>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</si>
  <si>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</si>
  <si>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</si>
  <si>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</si>
  <si>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</si>
  <si>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</si>
  <si>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</si>
  <si>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</si>
  <si>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</si>
  <si>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</si>
  <si>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</si>
  <si>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</si>
  <si>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</si>
  <si>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</si>
  <si>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</si>
  <si>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</si>
  <si>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</si>
  <si>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</si>
  <si>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</si>
  <si>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</si>
  <si>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</si>
  <si>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</si>
  <si>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</si>
  <si>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</si>
  <si>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</si>
  <si>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</si>
  <si>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</si>
  <si>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</si>
  <si>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</si>
  <si>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</si>
  <si>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</si>
  <si>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</si>
  <si>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</si>
  <si>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</si>
  <si>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</si>
  <si>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</si>
  <si>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</si>
  <si>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</si>
  <si>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</si>
  <si>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</si>
  <si>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</si>
  <si>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</si>
  <si>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</si>
  <si>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</si>
  <si>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</si>
  <si>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</si>
  <si>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</si>
  <si>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</si>
  <si>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</si>
  <si>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</si>
  <si>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</si>
  <si>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</si>
  <si>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</si>
  <si>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</si>
  <si>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</si>
  <si>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</si>
  <si>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</si>
  <si>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</si>
  <si>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</si>
  <si>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</si>
  <si>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</si>
  <si>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</si>
  <si>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</si>
  <si>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</si>
  <si>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</si>
  <si>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</si>
  <si>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</si>
  <si>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</si>
  <si>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</si>
  <si>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</si>
  <si>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</si>
  <si>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</si>
  <si>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</si>
  <si>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</si>
  <si>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</si>
  <si>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</si>
  <si>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</si>
  <si>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</si>
  <si>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</si>
  <si>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</si>
  <si>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</si>
  <si>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</si>
  <si>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</si>
  <si>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</si>
  <si>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</si>
  <si>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</si>
  <si>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</si>
  <si>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</si>
  <si>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</si>
  <si>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</si>
  <si>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</si>
  <si>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</si>
  <si>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</si>
  <si>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</si>
  <si>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</si>
  <si>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</si>
  <si>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</si>
  <si>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</si>
  <si>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</si>
  <si>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</si>
  <si>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</si>
  <si>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</si>
  <si>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</si>
  <si>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</si>
  <si>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</si>
  <si>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</si>
  <si>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</si>
  <si>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</si>
  <si>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</si>
  <si>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</si>
  <si>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</si>
  <si>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</si>
  <si>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</si>
  <si>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</si>
  <si>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</si>
  <si>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</si>
  <si>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</si>
  <si>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</si>
  <si>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</si>
  <si>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</si>
  <si>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</si>
  <si>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</si>
  <si>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</si>
  <si>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</si>
  <si>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</si>
  <si>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</si>
  <si>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</si>
  <si>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</si>
  <si>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</si>
  <si>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</si>
  <si>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</si>
  <si>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</si>
  <si>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</si>
  <si>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</si>
  <si>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</si>
  <si>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</si>
  <si>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</si>
  <si>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</si>
  <si>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</si>
  <si>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</si>
  <si>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</si>
  <si>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</si>
  <si>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</si>
  <si>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</si>
  <si>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</si>
  <si>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</si>
  <si>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</si>
  <si>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</si>
  <si>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</si>
  <si>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</si>
  <si>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</si>
  <si>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</si>
  <si>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</si>
  <si>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</si>
  <si>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</si>
  <si>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</si>
  <si>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</si>
  <si>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</si>
  <si>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</si>
  <si>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</si>
  <si>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</si>
  <si>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</si>
  <si>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</si>
  <si>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</si>
  <si>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</si>
  <si>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</si>
  <si>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</si>
  <si>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</si>
  <si>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</si>
  <si>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</si>
  <si>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</si>
  <si>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</si>
  <si>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</si>
  <si>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</si>
  <si>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</si>
  <si>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</si>
  <si>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</si>
  <si>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</si>
  <si>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</si>
  <si>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</si>
  <si>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</si>
  <si>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</si>
  <si>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</si>
  <si>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</si>
  <si>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</si>
  <si>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</si>
  <si>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</si>
  <si>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</si>
  <si>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</si>
  <si>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</si>
  <si>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</si>
  <si>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</si>
  <si>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</si>
  <si>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</si>
  <si>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</si>
  <si>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</si>
  <si>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</si>
  <si>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</si>
  <si>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</si>
  <si>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</si>
  <si>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</si>
  <si>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</si>
  <si>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</si>
  <si>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</si>
  <si>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</si>
  <si>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</si>
  <si>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</si>
  <si>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</si>
  <si>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</si>
  <si>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</si>
  <si>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</si>
  <si>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</si>
  <si>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</si>
  <si>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</si>
  <si>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</si>
  <si>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</si>
  <si>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</si>
  <si>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</si>
  <si>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</si>
  <si>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</si>
  <si>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</si>
  <si>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</si>
  <si>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</si>
  <si>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</si>
  <si>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</si>
  <si>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</si>
  <si>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</si>
  <si>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</si>
  <si>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</si>
  <si>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</si>
  <si>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</si>
  <si>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</si>
  <si>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</si>
  <si>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</si>
  <si>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</si>
  <si>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</si>
  <si>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</si>
  <si>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</si>
  <si>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</si>
  <si>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</si>
  <si>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</si>
  <si>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</si>
  <si>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</si>
  <si>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</si>
  <si>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</si>
  <si>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</si>
  <si>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</si>
  <si>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</si>
  <si>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</si>
  <si>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</si>
  <si>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</si>
  <si>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</si>
  <si>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</si>
  <si>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</si>
  <si>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</si>
  <si>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</si>
  <si>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</si>
  <si>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</si>
  <si>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</si>
  <si>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</si>
  <si>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</si>
  <si>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</si>
  <si>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</si>
  <si>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</si>
  <si>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</si>
  <si>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</si>
  <si>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</si>
  <si>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</si>
  <si>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</si>
  <si>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</si>
  <si>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</si>
  <si>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</si>
  <si>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</si>
  <si>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</si>
  <si>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</si>
  <si>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</si>
  <si>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</si>
  <si>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</si>
  <si>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</si>
  <si>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</si>
  <si>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</si>
  <si>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</si>
  <si>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</si>
  <si>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</si>
  <si>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</si>
  <si>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</si>
  <si>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</si>
  <si>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</si>
  <si>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</si>
  <si>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</si>
  <si>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</si>
  <si>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</si>
  <si>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</si>
  <si>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</si>
  <si>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</si>
  <si>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</si>
  <si>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</si>
  <si>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</si>
  <si>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</si>
  <si>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</si>
  <si>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</si>
  <si>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</si>
  <si>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</si>
  <si>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</si>
  <si>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</si>
  <si>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</si>
  <si>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</si>
  <si>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</si>
  <si>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</si>
  <si>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</si>
  <si>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</si>
  <si>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</si>
  <si>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</si>
  <si>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</si>
  <si>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</si>
  <si>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</si>
  <si>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</si>
  <si>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</si>
  <si>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</si>
  <si>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</si>
  <si>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</si>
  <si>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</si>
  <si>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</si>
  <si>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</si>
  <si>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</si>
  <si>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</si>
  <si>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</si>
  <si>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</si>
  <si>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</si>
  <si>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</si>
  <si>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</si>
  <si>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</si>
  <si>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</si>
  <si>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</si>
  <si>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</si>
  <si>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</si>
  <si>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</si>
  <si>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</si>
  <si>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</si>
  <si>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</si>
  <si>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</si>
  <si>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</si>
  <si>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</si>
  <si>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</si>
  <si>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</si>
  <si>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</si>
  <si>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</si>
  <si>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</si>
  <si>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</si>
  <si>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</si>
  <si>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</si>
  <si>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</si>
  <si>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</si>
  <si>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</si>
  <si>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</si>
  <si>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</si>
  <si>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</si>
  <si>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</si>
  <si>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</si>
  <si>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</si>
  <si>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</si>
  <si>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</si>
  <si>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</si>
  <si>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</si>
  <si>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</si>
  <si>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</si>
  <si>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</si>
  <si>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</si>
  <si>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</si>
  <si>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</si>
  <si>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</si>
  <si>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</si>
  <si>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</si>
  <si>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</si>
  <si>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</si>
  <si>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</si>
  <si>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</si>
  <si>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</si>
  <si>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</si>
  <si>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</si>
  <si>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</si>
  <si>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</si>
  <si>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</si>
  <si>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</si>
  <si>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</si>
  <si>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</si>
  <si>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</si>
  <si>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</si>
  <si>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</si>
  <si>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</si>
  <si>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</si>
  <si>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</si>
  <si>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</si>
  <si>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</si>
  <si>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</si>
  <si>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</si>
  <si>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</si>
  <si>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</si>
  <si>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</si>
  <si>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</si>
  <si>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</si>
  <si>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</si>
  <si>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</si>
  <si>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</si>
  <si>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</si>
  <si>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</si>
  <si>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</si>
  <si>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</si>
  <si>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</si>
  <si>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</si>
  <si>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</si>
  <si>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</si>
  <si>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</si>
  <si>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</si>
  <si>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</si>
  <si>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</si>
  <si>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</si>
  <si>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</si>
  <si>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</si>
  <si>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</si>
  <si>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</si>
  <si>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</si>
  <si>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</si>
  <si>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</si>
  <si>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</si>
  <si>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</si>
  <si>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</si>
  <si>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</si>
  <si>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</si>
  <si>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</si>
  <si>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</si>
  <si>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</si>
  <si>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</si>
  <si>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</si>
  <si>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</si>
  <si>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</si>
  <si>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</si>
  <si>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</si>
  <si>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</si>
  <si>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</si>
  <si>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</si>
  <si>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</si>
  <si>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</si>
  <si>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</si>
  <si>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</si>
  <si>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</si>
  <si>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</si>
  <si>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</si>
  <si>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</si>
  <si>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</si>
  <si>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</si>
  <si>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</si>
  <si>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</si>
  <si>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</si>
  <si>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</si>
  <si>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</si>
  <si>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</si>
  <si>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</si>
  <si>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</si>
  <si>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</si>
  <si>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</si>
  <si>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</si>
  <si>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</si>
  <si>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</si>
  <si>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</si>
  <si>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</si>
  <si>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</si>
  <si>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</si>
  <si>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</si>
  <si>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</si>
  <si>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</si>
  <si>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</si>
  <si>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</si>
  <si>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</si>
  <si>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</si>
  <si>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</si>
  <si>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</si>
  <si>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</si>
  <si>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</si>
  <si>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</si>
  <si>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</si>
  <si>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</si>
  <si>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</si>
  <si>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</si>
  <si>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</si>
  <si>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</si>
  <si>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</si>
  <si>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</si>
  <si>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</si>
  <si>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</si>
  <si>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</si>
  <si>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</si>
  <si>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</si>
  <si>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</si>
  <si>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</si>
  <si>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</si>
  <si>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</si>
  <si>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</si>
  <si>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</si>
  <si>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</si>
  <si>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</si>
  <si>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</si>
  <si>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</si>
  <si>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</si>
  <si>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</si>
  <si>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</si>
  <si>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</si>
  <si>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</si>
  <si>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</si>
  <si>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</si>
  <si>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</si>
  <si>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</si>
  <si>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</si>
  <si>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</si>
  <si>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</si>
  <si>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</si>
  <si>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</si>
  <si>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</si>
  <si>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</si>
  <si>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</si>
  <si>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</si>
  <si>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</si>
  <si>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</si>
  <si>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</si>
  <si>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</si>
  <si>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</si>
  <si>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</si>
  <si>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</si>
  <si>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</si>
  <si>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</si>
  <si>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</si>
  <si>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</si>
  <si>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</si>
  <si>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</si>
  <si>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</si>
  <si>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</si>
  <si>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</si>
  <si>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</si>
  <si>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</si>
  <si>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</si>
  <si>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</si>
  <si>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</si>
  <si>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</si>
  <si>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</si>
  <si>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</si>
  <si>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</si>
  <si>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</si>
  <si>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</si>
  <si>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</si>
  <si>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</si>
  <si>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</si>
  <si>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</si>
  <si>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</si>
  <si>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</si>
  <si>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</si>
  <si>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</si>
  <si>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</si>
  <si>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</si>
  <si>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</si>
  <si>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</si>
  <si>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</si>
  <si>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</si>
  <si>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</si>
  <si>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</si>
  <si>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</si>
  <si>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</si>
  <si>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</si>
  <si>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</si>
  <si>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</si>
  <si>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</si>
  <si>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</si>
  <si>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</si>
  <si>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</si>
  <si>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</si>
  <si>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</si>
  <si>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</si>
  <si>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</si>
  <si>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</si>
  <si>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</si>
  <si>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</si>
  <si>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</si>
  <si>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</si>
  <si>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</si>
  <si>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</si>
  <si>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</si>
  <si>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</si>
  <si>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</si>
  <si>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</si>
  <si>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</si>
  <si>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</si>
  <si>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</si>
  <si>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</si>
  <si>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</si>
  <si>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</si>
  <si>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</si>
  <si>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</si>
  <si>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</si>
  <si>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</si>
  <si>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</si>
  <si>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</si>
  <si>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</si>
  <si>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</si>
  <si>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</si>
  <si>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</si>
  <si>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</si>
  <si>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</si>
  <si>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</si>
  <si>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</si>
  <si>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</si>
  <si>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</si>
  <si>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</si>
  <si>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</si>
  <si>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</si>
  <si>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</si>
  <si>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</si>
  <si>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</si>
  <si>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</si>
  <si>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</si>
  <si>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</si>
  <si>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</si>
  <si>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</si>
  <si>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</si>
  <si>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</si>
  <si>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</si>
  <si>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</si>
  <si>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</si>
  <si>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</si>
  <si>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</si>
  <si>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</si>
  <si>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</si>
  <si>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</si>
  <si>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</si>
  <si>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</si>
  <si>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</si>
  <si>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</si>
  <si>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</si>
  <si>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</si>
  <si>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</si>
  <si>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</si>
  <si>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</si>
  <si>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</si>
  <si>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</si>
  <si>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</si>
  <si>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</si>
  <si>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</si>
  <si>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</si>
  <si>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</si>
  <si>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</si>
  <si>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</si>
  <si>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</si>
  <si>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</si>
  <si>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</si>
  <si>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</si>
  <si>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</si>
  <si>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</si>
  <si>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</si>
  <si>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</si>
  <si>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</si>
  <si>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</si>
  <si>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</si>
  <si>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</si>
  <si>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</si>
  <si>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</si>
  <si>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</si>
  <si>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</si>
  <si>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</si>
  <si>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</si>
  <si>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</si>
  <si>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</si>
  <si>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</si>
  <si>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</si>
  <si>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</si>
  <si>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</si>
  <si>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</si>
  <si>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</si>
  <si>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</si>
  <si>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</si>
  <si>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</si>
  <si>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</si>
  <si>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</si>
  <si>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</si>
  <si>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</si>
  <si>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</si>
  <si>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</si>
  <si>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</si>
  <si>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</si>
  <si>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</si>
  <si>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</si>
  <si>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</si>
  <si>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</si>
  <si>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</si>
  <si>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</si>
  <si>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</si>
  <si>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</si>
  <si>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</si>
  <si>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</si>
  <si>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</si>
  <si>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</si>
  <si>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</si>
  <si>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</si>
  <si>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</si>
  <si>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</si>
  <si>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</si>
  <si>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</si>
  <si>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</si>
  <si>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</si>
  <si>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</si>
  <si>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</si>
  <si>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</si>
  <si>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</si>
  <si>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</si>
  <si>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</si>
  <si>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</si>
  <si>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</si>
  <si>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</si>
  <si>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</si>
  <si>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</si>
  <si>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</si>
  <si>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</si>
  <si>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</si>
  <si>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</si>
  <si>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</si>
  <si>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</si>
  <si>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</si>
  <si>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</si>
  <si>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</si>
  <si>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</si>
  <si>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</si>
  <si>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</si>
  <si>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</si>
  <si>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</si>
  <si>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</si>
  <si>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</si>
  <si>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</si>
  <si>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</si>
  <si>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</si>
  <si>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</si>
  <si>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</si>
  <si>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</si>
  <si>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</si>
  <si>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</si>
  <si>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</si>
  <si>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</si>
  <si>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</si>
  <si>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</si>
  <si>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</si>
  <si>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</si>
  <si>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</si>
  <si>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</si>
  <si>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</si>
  <si>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</si>
  <si>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</si>
  <si>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</si>
  <si>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</si>
  <si>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</si>
  <si>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</si>
  <si>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</si>
  <si>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</si>
  <si>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</si>
  <si>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</si>
  <si>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</si>
  <si>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</si>
  <si>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</si>
  <si>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</si>
  <si>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</si>
  <si>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</si>
  <si>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</si>
  <si>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</si>
  <si>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</si>
  <si>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</si>
  <si>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</si>
  <si>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</si>
  <si>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</si>
  <si>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</si>
  <si>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</si>
  <si>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</si>
  <si>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</si>
  <si>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</si>
  <si>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</si>
  <si>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</si>
  <si>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</si>
  <si>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</si>
  <si>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</si>
  <si>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</si>
  <si>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</si>
  <si>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</si>
  <si>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</si>
  <si>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</si>
  <si>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</si>
  <si>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</si>
  <si>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</si>
  <si>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</si>
  <si>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</si>
  <si>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</si>
  <si>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</si>
  <si>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</si>
  <si>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</si>
  <si>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</si>
  <si>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</si>
  <si>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</si>
  <si>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</si>
  <si>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</si>
  <si>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</si>
  <si>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</si>
  <si>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</si>
  <si>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</si>
  <si>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</si>
  <si>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</si>
  <si>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</si>
  <si>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</si>
  <si>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</si>
  <si>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</si>
  <si>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</si>
  <si>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</si>
  <si>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</si>
  <si>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</si>
  <si>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</si>
  <si>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</si>
  <si>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</si>
  <si>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</si>
  <si>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</si>
  <si>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</si>
  <si>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</si>
  <si>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</si>
  <si>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</si>
  <si>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</si>
  <si>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</si>
  <si>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</si>
  <si>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</si>
  <si>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</si>
  <si>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</si>
  <si>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</si>
  <si>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</si>
  <si>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</si>
  <si>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</si>
  <si>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</si>
  <si>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</si>
  <si>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</si>
  <si>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</si>
  <si>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</si>
  <si>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</si>
  <si>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</si>
  <si>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</si>
  <si>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</si>
  <si>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</si>
  <si>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</si>
  <si>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</si>
  <si>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</si>
  <si>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</si>
  <si>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</si>
  <si>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</si>
  <si>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</si>
  <si>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</si>
  <si>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</si>
  <si>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</si>
  <si>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</si>
  <si>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</si>
  <si>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</si>
  <si>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</si>
  <si>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</si>
  <si>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</si>
  <si>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</si>
  <si>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</si>
  <si>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</si>
  <si>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</si>
  <si>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</si>
  <si>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</si>
  <si>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</si>
  <si>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</si>
  <si>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</si>
  <si>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</si>
  <si>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</si>
  <si>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</si>
  <si>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</si>
  <si>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</si>
  <si>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</si>
  <si>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</si>
  <si>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</si>
  <si>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</si>
  <si>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</si>
  <si>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</si>
  <si>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</si>
  <si>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</si>
  <si>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</si>
  <si>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</si>
  <si>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</si>
  <si>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</si>
  <si>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</si>
  <si>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</si>
  <si>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</si>
  <si>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</si>
  <si>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</si>
  <si>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</si>
  <si>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</si>
  <si>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</si>
  <si>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</si>
  <si>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</si>
  <si>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</si>
  <si>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</si>
  <si>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</si>
  <si>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</si>
  <si>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</si>
  <si>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</si>
  <si>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</si>
  <si>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</si>
  <si>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</si>
  <si>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</si>
  <si>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</si>
  <si>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</si>
  <si>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</si>
  <si>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</si>
  <si>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</si>
  <si>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</si>
  <si>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</si>
  <si>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</si>
  <si>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</si>
  <si>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</si>
  <si>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</si>
  <si>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</si>
  <si>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</si>
  <si>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</si>
  <si>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</si>
  <si>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</si>
  <si>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</si>
  <si>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</si>
  <si>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</si>
  <si>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</si>
  <si>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</si>
  <si>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</si>
  <si>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</si>
  <si>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</si>
  <si>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</si>
  <si>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</si>
  <si>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</si>
  <si>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</si>
  <si>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</si>
  <si>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</si>
  <si>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</si>
  <si>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</si>
  <si>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</si>
  <si>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</si>
  <si>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</si>
  <si>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</si>
  <si>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</si>
  <si>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</si>
  <si>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</si>
  <si>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</si>
  <si>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</si>
  <si>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</si>
  <si>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</si>
  <si>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</si>
  <si>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</si>
  <si>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</si>
  <si>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</si>
  <si>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</si>
  <si>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</si>
  <si>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</si>
  <si>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</si>
  <si>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</si>
  <si>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</si>
  <si>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</si>
  <si>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</si>
  <si>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</si>
  <si>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</si>
  <si>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</si>
  <si>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</si>
  <si>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</si>
  <si>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</si>
  <si>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</si>
  <si>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</si>
  <si>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</si>
  <si>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</si>
  <si>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</si>
  <si>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</si>
  <si>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</si>
  <si>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</si>
  <si>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</si>
  <si>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</si>
  <si>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</si>
  <si>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</si>
  <si>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</si>
  <si>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</si>
  <si>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</si>
  <si>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</si>
  <si>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</si>
  <si>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</si>
  <si>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</si>
  <si>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</si>
  <si>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</si>
  <si>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</si>
  <si>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</si>
  <si>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</si>
  <si>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</si>
  <si>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</si>
  <si>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</si>
  <si>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</si>
  <si>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</si>
  <si>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</si>
  <si>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</si>
  <si>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</si>
  <si>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</si>
  <si>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</si>
  <si>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</si>
  <si>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</si>
  <si>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</si>
  <si>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</si>
  <si>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</si>
  <si>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</si>
  <si>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</si>
  <si>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</si>
  <si>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</si>
  <si>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</si>
  <si>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</si>
  <si>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</si>
  <si>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</si>
  <si>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</si>
  <si>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</si>
  <si>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</si>
  <si>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</si>
  <si>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</si>
  <si>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</si>
  <si>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</si>
  <si>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</si>
  <si>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</si>
  <si>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</si>
  <si>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</si>
  <si>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</si>
  <si>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</si>
  <si>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</si>
  <si>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</si>
  <si>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</si>
  <si>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</si>
  <si>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</si>
  <si>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</si>
  <si>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</si>
  <si>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</si>
  <si>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</si>
  <si>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</si>
  <si>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</si>
  <si>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</si>
  <si>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</si>
  <si>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</si>
  <si>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</si>
  <si>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</si>
  <si>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</si>
  <si>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</si>
  <si>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</si>
  <si>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</si>
  <si>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</si>
  <si>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</si>
  <si>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</si>
  <si>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</si>
  <si>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</si>
  <si>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</si>
  <si>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</si>
  <si>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</si>
  <si>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</si>
  <si>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</si>
  <si>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</si>
  <si>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</si>
  <si>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</si>
  <si>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</si>
  <si>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</si>
  <si>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</si>
  <si>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</si>
  <si>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</si>
  <si>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</si>
  <si>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</si>
  <si>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</si>
  <si>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</si>
  <si>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</si>
  <si>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</si>
  <si>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</si>
  <si>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</si>
  <si>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</si>
  <si>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</si>
  <si>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</si>
  <si>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</si>
  <si>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</si>
  <si>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</si>
  <si>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</si>
  <si>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</si>
  <si>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</si>
  <si>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</si>
  <si>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</si>
  <si>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</si>
  <si>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</si>
  <si>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</si>
  <si>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</si>
  <si>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</si>
  <si>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</si>
  <si>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</si>
  <si>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</si>
  <si>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</si>
  <si>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</si>
  <si>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</si>
  <si>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</si>
  <si>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</si>
  <si>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</si>
  <si>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</si>
  <si>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</si>
  <si>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</si>
  <si>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</si>
  <si>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</si>
  <si>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</si>
  <si>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</si>
  <si>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</si>
  <si>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</si>
  <si>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</si>
  <si>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</si>
  <si>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</si>
  <si>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</si>
  <si>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</si>
  <si>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</si>
  <si>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</si>
  <si>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</si>
  <si>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</si>
  <si>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</si>
  <si>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</si>
  <si>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</si>
  <si>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</si>
  <si>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</si>
  <si>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</si>
  <si>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</si>
  <si>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</si>
  <si>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</si>
  <si>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</si>
  <si>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</si>
  <si>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</si>
  <si>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</si>
  <si>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</si>
  <si>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</si>
  <si>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</si>
  <si>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</si>
  <si>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</si>
  <si>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</si>
  <si>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</si>
  <si>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</si>
  <si>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</si>
  <si>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</si>
  <si>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</si>
  <si>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</si>
  <si>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</si>
  <si>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</si>
  <si>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</si>
  <si>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</si>
  <si>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</si>
  <si>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</si>
  <si>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</si>
  <si>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</si>
  <si>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</si>
  <si>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</si>
  <si>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</si>
  <si>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</si>
  <si>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</si>
  <si>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</si>
  <si>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</si>
  <si>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</si>
  <si>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</si>
  <si>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</si>
  <si>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</si>
  <si>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</si>
  <si>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</si>
  <si>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</si>
  <si>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</si>
  <si>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</si>
  <si>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</si>
  <si>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</si>
  <si>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</si>
  <si>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</si>
  <si>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</si>
  <si>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</si>
  <si>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</si>
  <si>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</si>
  <si>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</si>
  <si>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</si>
  <si>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</si>
  <si>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</si>
  <si>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</si>
  <si>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</si>
  <si>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</si>
  <si>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</si>
  <si>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</si>
  <si>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</si>
  <si>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</si>
  <si>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</si>
  <si>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</si>
  <si>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</si>
  <si>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</si>
  <si>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</si>
  <si>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</si>
  <si>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</si>
  <si>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</si>
  <si>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</si>
  <si>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</si>
  <si>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</si>
  <si>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</si>
  <si>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</si>
  <si>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</si>
  <si>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</si>
  <si>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</si>
  <si>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</si>
  <si>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</si>
  <si>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</si>
  <si>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</si>
  <si>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</si>
  <si>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</si>
  <si>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</si>
  <si>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</si>
  <si>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</si>
  <si>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</si>
  <si>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</si>
  <si>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</si>
  <si>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</si>
  <si>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</si>
  <si>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</si>
  <si>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</si>
  <si>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</si>
  <si>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</si>
  <si>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</si>
  <si>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</si>
  <si>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</si>
  <si>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</si>
  <si>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</si>
  <si>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</si>
  <si>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</si>
  <si>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</si>
  <si>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</si>
  <si>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</si>
  <si>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</si>
  <si>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</si>
  <si>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</si>
  <si>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</si>
  <si>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</si>
  <si>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</si>
  <si>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</si>
  <si>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</si>
  <si>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</si>
  <si>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</si>
  <si>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</si>
  <si>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</si>
  <si>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</si>
  <si>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</si>
  <si>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</si>
  <si>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</si>
  <si>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</si>
  <si>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</si>
  <si>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</si>
  <si>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</si>
  <si>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</si>
  <si>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</si>
  <si>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</si>
  <si>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</si>
  <si>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</si>
  <si>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</si>
  <si>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</si>
  <si>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</si>
  <si>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</si>
  <si>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</si>
  <si>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</si>
  <si>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</si>
  <si>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</si>
  <si>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</si>
  <si>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</si>
  <si>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</si>
  <si>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</si>
  <si>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</si>
  <si>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</si>
  <si>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</si>
  <si>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</si>
  <si>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</si>
  <si>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</si>
  <si>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</si>
  <si>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</si>
  <si>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</si>
  <si>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</si>
  <si>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</si>
  <si>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</si>
  <si>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</si>
  <si>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</si>
  <si>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</si>
  <si>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</si>
  <si>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</si>
  <si>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</si>
  <si>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</si>
  <si>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</si>
  <si>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</si>
  <si>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</si>
  <si>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</si>
  <si>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</si>
  <si>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</si>
  <si>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</si>
  <si>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</si>
  <si>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</si>
  <si>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</si>
  <si>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</si>
  <si>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</si>
  <si>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</si>
  <si>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</si>
  <si>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</si>
  <si>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</si>
  <si>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</si>
  <si>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</si>
  <si>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</si>
  <si>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</si>
  <si>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</si>
  <si>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</si>
  <si>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</si>
  <si>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</si>
  <si>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</si>
  <si>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</si>
  <si>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</si>
  <si>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</si>
  <si>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</si>
  <si>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</si>
  <si>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</si>
  <si>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</si>
  <si>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</si>
  <si>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</si>
  <si>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</si>
  <si>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</si>
  <si>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</si>
  <si>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</si>
  <si>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</si>
  <si>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</si>
  <si>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</si>
  <si>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</si>
  <si>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</si>
  <si>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</si>
  <si>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</si>
  <si>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</si>
  <si>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</si>
  <si>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</si>
  <si>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</si>
  <si>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</si>
  <si>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</si>
  <si>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</si>
  <si>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</si>
  <si>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</si>
  <si>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</si>
  <si>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</si>
  <si>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</si>
  <si>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</si>
  <si>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</si>
  <si>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</si>
  <si>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</si>
  <si>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</si>
  <si>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</si>
  <si>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</si>
  <si>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</si>
  <si>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</si>
  <si>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</si>
  <si>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</si>
  <si>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</si>
  <si>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</si>
  <si>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</si>
  <si>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</si>
  <si>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</si>
  <si>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</si>
  <si>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</si>
  <si>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</si>
  <si>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</si>
  <si>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</si>
  <si>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</si>
  <si>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</si>
  <si>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</si>
  <si>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</si>
  <si>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</si>
  <si>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</si>
  <si>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</si>
  <si>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</si>
  <si>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</si>
  <si>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</si>
  <si>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</si>
  <si>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</si>
  <si>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</si>
  <si>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</si>
  <si>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</si>
  <si>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</si>
  <si>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</si>
  <si>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</si>
  <si>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</si>
  <si>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</si>
  <si>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</si>
  <si>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</si>
  <si>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</si>
  <si>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</si>
  <si>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</si>
  <si>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</si>
  <si>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</si>
  <si>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</si>
  <si>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</si>
  <si>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</si>
  <si>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</si>
  <si>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</si>
  <si>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</si>
  <si>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</si>
  <si>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</si>
  <si>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</si>
  <si>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</si>
  <si>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</si>
  <si>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</si>
  <si>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</si>
  <si>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</si>
  <si>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</si>
  <si>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</si>
  <si>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</si>
  <si>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</si>
  <si>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</si>
  <si>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</si>
  <si>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</si>
  <si>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</si>
  <si>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</si>
  <si>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</si>
  <si>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</si>
  <si>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</si>
  <si>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</si>
  <si>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</si>
  <si>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</si>
  <si>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</si>
  <si>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</si>
  <si>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</si>
  <si>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</si>
  <si>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</si>
  <si>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</si>
  <si>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</si>
  <si>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</si>
  <si>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</si>
  <si>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</si>
  <si>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</si>
  <si>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</si>
  <si>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</si>
  <si>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</si>
  <si>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</si>
  <si>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</si>
  <si>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</si>
  <si>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</si>
  <si>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</si>
  <si>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</si>
  <si>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</si>
  <si>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</si>
  <si>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</si>
  <si>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</si>
  <si>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</si>
  <si>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</si>
  <si>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</si>
  <si>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</si>
  <si>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</si>
  <si>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</si>
  <si>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</si>
  <si>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</si>
  <si>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</si>
  <si>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</si>
  <si>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</si>
  <si>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</si>
  <si>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</si>
  <si>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</si>
  <si>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</si>
  <si>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</si>
  <si>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</si>
  <si>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</si>
  <si>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</si>
  <si>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</si>
  <si>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</si>
  <si>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</si>
  <si>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</si>
  <si>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</si>
  <si>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</si>
  <si>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</si>
  <si>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</si>
  <si>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</si>
  <si>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</si>
  <si>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</si>
  <si>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</si>
  <si>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</si>
  <si>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</si>
  <si>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</si>
  <si>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</si>
  <si>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</si>
  <si>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</si>
  <si>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</si>
  <si>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</si>
  <si>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</si>
  <si>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</si>
  <si>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</si>
  <si>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</si>
  <si>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</si>
  <si>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</si>
  <si>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</si>
  <si>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</si>
  <si>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</si>
  <si>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</si>
  <si>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</si>
  <si>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</si>
  <si>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</si>
  <si>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</si>
  <si>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</si>
  <si>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</si>
  <si>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</si>
  <si>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</si>
  <si>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</si>
  <si>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</si>
  <si>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</si>
  <si>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</si>
  <si>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</si>
  <si>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</si>
  <si>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</si>
  <si>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</si>
  <si>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</si>
  <si>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</si>
  <si>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</si>
  <si>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</si>
  <si>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</si>
  <si>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</si>
  <si>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</si>
  <si>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</si>
  <si>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</si>
  <si>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</si>
  <si>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</si>
  <si>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</si>
  <si>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</si>
  <si>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</si>
  <si>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</si>
  <si>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</si>
  <si>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</si>
  <si>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</si>
  <si>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</si>
  <si>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</si>
  <si>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</si>
  <si>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</si>
  <si>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</si>
  <si>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</si>
  <si>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</si>
  <si>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</si>
  <si>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</si>
  <si>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</si>
  <si>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</si>
  <si>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</si>
  <si>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</si>
  <si>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</si>
  <si>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</si>
  <si>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</si>
  <si>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</si>
  <si>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</si>
  <si>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</si>
  <si>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</si>
  <si>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</si>
  <si>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</si>
  <si>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</si>
  <si>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</si>
  <si>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</si>
  <si>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</si>
  <si>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</si>
  <si>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</si>
  <si>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</si>
  <si>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</si>
  <si>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</si>
  <si>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</si>
  <si>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</si>
  <si>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</si>
  <si>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</si>
  <si>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</si>
  <si>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</si>
  <si>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</si>
  <si>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</si>
  <si>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</si>
  <si>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</si>
  <si>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</si>
  <si>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</si>
  <si>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</si>
  <si>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</si>
  <si>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</si>
  <si>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</si>
  <si>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</si>
  <si>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</si>
  <si>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</si>
  <si>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</si>
  <si>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</si>
  <si>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</si>
  <si>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</si>
  <si>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</si>
  <si>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</si>
  <si>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</si>
  <si>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</si>
  <si>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</si>
  <si>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</si>
  <si>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</si>
  <si>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</si>
  <si>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</si>
  <si>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</si>
  <si>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</si>
  <si>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</si>
  <si>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</si>
  <si>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unrealized gains for trusts</t>
  </si>
  <si>
    <t>Fund 70 - removed permanent and private trusts from DOE 25 per auditor suggestion.</t>
  </si>
  <si>
    <t>Fund 22 - $1,000 adjustment to student activities FB at 7/1/20 made after DOE 25 submission</t>
  </si>
  <si>
    <t xml:space="preserve">Fund 70 Fund Balance at 7/1/21 is different than the amount reported on the FY20 DOE 25.  </t>
  </si>
  <si>
    <t xml:space="preserve">The fund balance amounts for our permanent trusts and private trusts were removed from the 7/1/21 beginning balance.  </t>
  </si>
  <si>
    <t>Our auditors suggested that we should not report these trusts on the DOE 25.</t>
  </si>
  <si>
    <t>The Fund 70 fund balance reflects our expendable trusts.</t>
  </si>
  <si>
    <t>Milford School District SAU 40</t>
  </si>
  <si>
    <t>after the FY20 DOE 25 was submitted.</t>
  </si>
  <si>
    <t xml:space="preserve">Fund 22 Fund Balance at 7/1/21 was reduced by $1,000 due to a Student Activities June adjustment that was made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</si>
</sst>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46"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1679</v>
      </c>
      <c r="B2" s="21">
        <v>357</v>
      </c>
      <c r="C2" s="21">
        <v>357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2815102.9</v>
      </c>
      <c r="G9" s="18">
        <v>365</v>
      </c>
      <c r="H9" s="18">
        <v>262246.65999999997</v>
      </c>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375739.05</v>
      </c>
      <c r="G12" s="18"/>
      <c r="H12" s="18">
        <f>54770.23+527.73</f>
        <v>55297.960000000006</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47919.86</v>
      </c>
      <c r="G13" s="18">
        <v>103514.32</v>
      </c>
      <c r="H13" s="18">
        <f>310114.36</f>
        <v>310114.36</v>
      </c>
      <c r="I13" s="18"/>
      <c r="J13" s="67">
        <f>SUM(I443)</f>
        <v>767970.24</v>
      </c>
      <c r="K13" s="24" t="s">
        <v>288</v>
      </c>
      <c r="L13" s="24" t="s">
        <v>288</v>
      </c>
      <c r="M13" s="8"/>
      <c r="N13" s="264"/>
    </row>
    <row r="14" spans="1:14" s="3" customFormat="1" ht="12.2" customHeight="1" x14ac:dyDescent="0.15">
      <c r="A14" s="1" t="s">
        <v>565</v>
      </c>
      <c r="B14" s="2" t="s">
        <v>289</v>
      </c>
      <c r="C14" s="6">
        <v>6</v>
      </c>
      <c r="D14" s="2" t="s">
        <v>428</v>
      </c>
      <c r="E14" s="6">
        <v>150</v>
      </c>
      <c r="F14" s="18">
        <v>200</v>
      </c>
      <c r="G14" s="18"/>
      <c r="H14" s="18">
        <f>5600</f>
        <v>5600</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32753.13</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3271714.9399999995</v>
      </c>
      <c r="G19" s="41">
        <f>SUM(G9:G18)</f>
        <v>103879.32</v>
      </c>
      <c r="H19" s="41">
        <f>SUM(H9:H18)</f>
        <v>633258.98</v>
      </c>
      <c r="I19" s="41">
        <f>SUM(I9:I18)</f>
        <v>0</v>
      </c>
      <c r="J19" s="41">
        <f>SUM(J9:J18)</f>
        <v>767970.24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55297.96</v>
      </c>
      <c r="G22" s="18">
        <v>65624.69</v>
      </c>
      <c r="H22" s="18">
        <f>310114.36</f>
        <v>310114.36</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241298.66</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386650.13</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38254.629999999997</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683246.75</v>
      </c>
      <c r="G32" s="41">
        <f>SUM(G22:G31)</f>
        <v>103879.32</v>
      </c>
      <c r="H32" s="41">
        <f>SUM(H22:H31)</f>
        <v>310114.36</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32753.13</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522153.79</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18103.05</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227713.4</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54770.23+6127.73+262246.66</f>
        <v>323144.62</v>
      </c>
      <c r="I48" s="18"/>
      <c r="J48" s="13">
        <f>SUM(I460)</f>
        <v>0</v>
      </c>
      <c r="K48" s="24" t="s">
        <v>288</v>
      </c>
      <c r="L48" s="24" t="s">
        <v>288</v>
      </c>
      <c r="M48" s="8"/>
      <c r="N48" s="264"/>
    </row>
    <row r="49" spans="1:14" s="3" customFormat="1" ht="12.2" customHeight="1" x14ac:dyDescent="0.15">
      <c r="A49" s="1" t="s">
        <v>859</v>
      </c>
      <c r="B49" s="2" t="s">
        <v>289</v>
      </c>
      <c r="C49" s="6">
        <v>34</v>
      </c>
      <c r="D49" s="2"/>
      <c r="E49" s="6">
        <v>753</v>
      </c>
      <c r="F49" s="18">
        <v>572109</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1983606.06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2588468.19</v>
      </c>
      <c r="G51" s="41">
        <f>SUM(G35:G50)</f>
        <v>0</v>
      </c>
      <c r="H51" s="41">
        <f>SUM(H35:H50)</f>
        <v>323144.62</v>
      </c>
      <c r="I51" s="41">
        <f>SUM(I35:I50)</f>
        <v>0</v>
      </c>
      <c r="J51" s="41">
        <f>SUM(J35:J50)</f>
        <v>767970.24</v>
      </c>
      <c r="K51" s="45" t="s">
        <v>288</v>
      </c>
      <c r="L51" s="45" t="s">
        <v>288</v>
      </c>
      <c r="N51" s="262"/>
    </row>
    <row r="52" spans="1:14" s="3" customFormat="1" ht="12.2" customHeight="1" thickTop="1" x14ac:dyDescent="0.15">
      <c r="A52" s="38" t="s">
        <v>455</v>
      </c>
      <c r="B52" s="39" t="s">
        <v>289</v>
      </c>
      <c r="C52" s="6">
        <v>37</v>
      </c>
      <c r="D52" s="39" t="s">
        <v>653</v>
      </c>
      <c r="E52" s="39"/>
      <c r="F52" s="41">
        <f>F51+F32</f>
        <v>3271714.94</v>
      </c>
      <c r="G52" s="41">
        <f>G51+G32</f>
        <v>103879.32</v>
      </c>
      <c r="H52" s="41">
        <f>H51+H32</f>
        <v>633258.98</v>
      </c>
      <c r="I52" s="41">
        <f>I51+I32</f>
        <v>0</v>
      </c>
      <c r="J52" s="41">
        <f>J51+J32</f>
        <v>767970.24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27427965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27427965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9770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v>77373.25</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880940</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98953.58</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22576.79</v>
      </c>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1012240.37</v>
      </c>
      <c r="G79" s="45" t="s">
        <v>288</v>
      </c>
      <c r="H79" s="41">
        <f>SUM(H63:H78)</f>
        <v>77373.25</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8367.52</v>
      </c>
      <c r="G96" s="18"/>
      <c r="H96" s="18"/>
      <c r="I96" s="18"/>
      <c r="J96" s="18">
        <v>55629.33</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23036.41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v>117398.2</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9168.91</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15957.16</v>
      </c>
      <c r="G110" s="18"/>
      <c r="H110" s="18">
        <v>40189</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24324.68</v>
      </c>
      <c r="G111" s="41">
        <f>SUM(G96:G110)</f>
        <v>23036.41</v>
      </c>
      <c r="H111" s="41">
        <f>SUM(H96:H110)</f>
        <v>166756.10999999999</v>
      </c>
      <c r="I111" s="41">
        <f>SUM(I96:I110)</f>
        <v>0</v>
      </c>
      <c r="J111" s="41">
        <f>SUM(J96:J110)</f>
        <v>55629.33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28464530.050000001</v>
      </c>
      <c r="G112" s="41">
        <f>G60+G111</f>
        <v>23036.41</v>
      </c>
      <c r="H112" s="41">
        <f>H60+H79+H94+H111</f>
        <v>244129.36</v>
      </c>
      <c r="I112" s="41">
        <f>I60+I111</f>
        <v>0</v>
      </c>
      <c r="J112" s="41">
        <f>J60+J111</f>
        <v>55629.33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9091963.9199999999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3128065</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1125.7</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12221154.619999999</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239364.94</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301576.48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62700.25</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7356.43</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v>38820.01</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7687.24+931.53</f>
        <v>8618.77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610998.1</v>
      </c>
      <c r="G136" s="41">
        <f>SUM(G123:G135)</f>
        <v>8618.77</v>
      </c>
      <c r="H136" s="41">
        <f>SUM(H123:H135)</f>
        <v>38820.01</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12832152.719999999</v>
      </c>
      <c r="G140" s="41">
        <f>G121+SUM(G136:G137)</f>
        <v>8618.77</v>
      </c>
      <c r="H140" s="41">
        <f>H121+SUM(H136:H139)</f>
        <v>38820.01</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228707.21</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30001.05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128137.48</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203318.94+58686.39</f>
        <v>262005.33000000002</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468247.45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434800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222775.47+17790.42+411200-434800</f>
        <v>216965.89</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0</v>
      </c>
      <c r="G163" s="41">
        <f>SUM(G150:G162)</f>
        <v>262005.33000000002</v>
      </c>
      <c r="H163" s="41">
        <f>SUM(H150:H162)</f>
        <v>1506859.08</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0</v>
      </c>
      <c r="G170" s="41">
        <f>G147+G163+SUM(G164:G169)</f>
        <v>262005.33000000002</v>
      </c>
      <c r="H170" s="41">
        <f>H147+H163+SUM(H164:H169)</f>
        <v>1506859.08</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61273.97</v>
      </c>
      <c r="H180" s="18"/>
      <c r="I180" s="18"/>
      <c r="J180" s="18">
        <v>600000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61273.97</v>
      </c>
      <c r="H184" s="41">
        <f>SUM(H180:H183)</f>
        <v>0</v>
      </c>
      <c r="I184" s="41">
        <f>SUM(I180:I183)</f>
        <v>0</v>
      </c>
      <c r="J184" s="41">
        <f>SUM(J180:J183)</f>
        <v>600000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v>35000</v>
      </c>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35000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35000</v>
      </c>
      <c r="G193" s="41">
        <f>G184+SUM(G189:G192)</f>
        <v>61273.97</v>
      </c>
      <c r="H193" s="41">
        <f>+H184+SUM(H189:H192)</f>
        <v>0</v>
      </c>
      <c r="I193" s="41">
        <f>I178+I184+SUM(I189:I192)</f>
        <v>0</v>
      </c>
      <c r="J193" s="41">
        <f>J184</f>
        <v>600000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41331682.769999996</v>
      </c>
      <c r="G194" s="47">
        <f>G112+G140+G170+G193</f>
        <v>354934.48</v>
      </c>
      <c r="H194" s="47">
        <f>H112+H140+H170+H193</f>
        <v>1789808.4500000002</v>
      </c>
      <c r="I194" s="47">
        <f>I112+I140+I170+I193</f>
        <v>0</v>
      </c>
      <c r="J194" s="47">
        <f>J112+J140+J193</f>
        <v>655629.32999999996</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3891373.41+21377.49</f>
        <v>3912750.9000000004</v>
      </c>
      <c r="G198" s="18">
        <f>2000713.04</f>
        <v>2000713.04</v>
      </c>
      <c r="H198" s="18">
        <f>9677.43</f>
        <v>9677.43</v>
      </c>
      <c r="I198" s="18">
        <f>137725.32</f>
        <v>137725.32</v>
      </c>
      <c r="J198" s="18">
        <f>20563.81</f>
        <v>20563.810000000001</v>
      </c>
      <c r="K198" s="18">
        <f>290</f>
        <v>290</v>
      </c>
      <c r="L198" s="19">
        <f>SUM(F198:K198)</f>
        <v>6081720.5</v>
      </c>
      <c r="M198" s="8"/>
      <c r="N198" s="264"/>
    </row>
    <row r="199" spans="1:14" s="3" customFormat="1" ht="12.2" customHeight="1" x14ac:dyDescent="0.15">
      <c r="A199" s="1" t="s">
        <v>439</v>
      </c>
      <c r="B199" s="2" t="s">
        <v>341</v>
      </c>
      <c r="C199" s="2" t="s">
        <v>291</v>
      </c>
      <c r="D199" s="2" t="s">
        <v>431</v>
      </c>
      <c r="E199" s="6">
        <v>1200</v>
      </c>
      <c r="F199" s="18">
        <f>1348494.37+143534.04</f>
        <v>1492028.4100000001</v>
      </c>
      <c r="G199" s="18">
        <f>828097.26</f>
        <v>828097.26</v>
      </c>
      <c r="H199" s="18">
        <f>195324.24+115262.24</f>
        <v>310586.48</v>
      </c>
      <c r="I199" s="18">
        <f>19845.31+213.1</f>
        <v>20058.41</v>
      </c>
      <c r="J199" s="18">
        <f>152.32</f>
        <v>152.32</v>
      </c>
      <c r="K199" s="18"/>
      <c r="L199" s="19">
        <f>SUM(F199:K199)</f>
        <v>2650922.88</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1240.2</f>
        <v>1240.2</v>
      </c>
      <c r="G201" s="18">
        <f>4593.58</f>
        <v>4593.58</v>
      </c>
      <c r="H201" s="18"/>
      <c r="I201" s="18"/>
      <c r="J201" s="18"/>
      <c r="K201" s="18"/>
      <c r="L201" s="19">
        <f>SUM(F201:K201)</f>
        <v>5833.78</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455161.42+640734.44</f>
        <v>1095895.8599999999</v>
      </c>
      <c r="G203" s="18">
        <f>484413.93</f>
        <v>484413.93</v>
      </c>
      <c r="H203" s="18">
        <f>35151.11+36050.66</f>
        <v>71201.77</v>
      </c>
      <c r="I203" s="18">
        <f>3604.34+1097.13</f>
        <v>4701.47</v>
      </c>
      <c r="J203" s="18">
        <f>563.45+1989.02</f>
        <v>2552.4700000000003</v>
      </c>
      <c r="K203" s="18"/>
      <c r="L203" s="19">
        <f t="shared" ref="L203:L209" si="0">SUM(F203:K203)</f>
        <v>1658765.4999999998</v>
      </c>
      <c r="M203" s="8"/>
      <c r="N203" s="264"/>
    </row>
    <row r="204" spans="1:14" s="3" customFormat="1" ht="12.2" customHeight="1" x14ac:dyDescent="0.15">
      <c r="A204" s="1" t="s">
        <v>443</v>
      </c>
      <c r="B204" s="2" t="s">
        <v>341</v>
      </c>
      <c r="C204" s="2" t="s">
        <v>295</v>
      </c>
      <c r="D204" s="2" t="s">
        <v>431</v>
      </c>
      <c r="E204" s="6">
        <v>2200</v>
      </c>
      <c r="F204" s="18">
        <f>152757.7+3315</f>
        <v>156072.70000000001</v>
      </c>
      <c r="G204" s="18">
        <f>61386.94</f>
        <v>61386.94</v>
      </c>
      <c r="H204" s="18">
        <f>35+22236.16</f>
        <v>22271.16</v>
      </c>
      <c r="I204" s="18">
        <f>11775.33+33966.82</f>
        <v>45742.15</v>
      </c>
      <c r="J204" s="18">
        <f>2209.06</f>
        <v>2209.06</v>
      </c>
      <c r="K204" s="18">
        <f>167.31</f>
        <v>167.31</v>
      </c>
      <c r="L204" s="19">
        <f t="shared" si="0"/>
        <v>287849.32</v>
      </c>
      <c r="M204" s="8"/>
      <c r="N204" s="264"/>
    </row>
    <row r="205" spans="1:14" s="3" customFormat="1" ht="12.2" customHeight="1" x14ac:dyDescent="0.15">
      <c r="A205" s="1" t="s">
        <v>444</v>
      </c>
      <c r="B205" s="2" t="s">
        <v>341</v>
      </c>
      <c r="C205" s="2" t="s">
        <v>296</v>
      </c>
      <c r="D205" s="2" t="s">
        <v>431</v>
      </c>
      <c r="E205" s="6">
        <v>2300</v>
      </c>
      <c r="F205" s="18">
        <f>113633.65+418006.51</f>
        <v>531640.16</v>
      </c>
      <c r="G205" s="18">
        <f>292318.75</f>
        <v>292318.75</v>
      </c>
      <c r="H205" s="18">
        <f>89353.04</f>
        <v>89353.04</v>
      </c>
      <c r="I205" s="18">
        <f>6787</f>
        <v>6787</v>
      </c>
      <c r="J205" s="18">
        <f>403.92</f>
        <v>403.92</v>
      </c>
      <c r="K205" s="18">
        <f>7763.76</f>
        <v>7763.76</v>
      </c>
      <c r="L205" s="19">
        <f t="shared" si="0"/>
        <v>928266.63000000012</v>
      </c>
      <c r="M205" s="8"/>
      <c r="N205" s="264"/>
    </row>
    <row r="206" spans="1:14" s="3" customFormat="1" ht="12.2" customHeight="1" x14ac:dyDescent="0.15">
      <c r="A206" s="1" t="s">
        <v>445</v>
      </c>
      <c r="B206" s="2" t="s">
        <v>341</v>
      </c>
      <c r="C206" s="2" t="s">
        <v>297</v>
      </c>
      <c r="D206" s="2" t="s">
        <v>431</v>
      </c>
      <c r="E206" s="6">
        <v>2400</v>
      </c>
      <c r="F206" s="18">
        <f>462174.3</f>
        <v>462174.3</v>
      </c>
      <c r="G206" s="18">
        <f>244712.55</f>
        <v>244712.55</v>
      </c>
      <c r="H206" s="18">
        <f>2291.99</f>
        <v>2291.9899999999998</v>
      </c>
      <c r="I206" s="18">
        <f>8655.12</f>
        <v>8655.1200000000008</v>
      </c>
      <c r="J206" s="18"/>
      <c r="K206" s="18">
        <f>2434</f>
        <v>2434</v>
      </c>
      <c r="L206" s="19">
        <f t="shared" si="0"/>
        <v>720267.96</v>
      </c>
      <c r="M206" s="8"/>
      <c r="N206" s="264"/>
    </row>
    <row r="207" spans="1:14" s="3" customFormat="1" ht="12.2" customHeight="1" x14ac:dyDescent="0.15">
      <c r="A207" s="1" t="s">
        <v>446</v>
      </c>
      <c r="B207" s="2" t="s">
        <v>341</v>
      </c>
      <c r="C207" s="2" t="s">
        <v>298</v>
      </c>
      <c r="D207" s="2" t="s">
        <v>431</v>
      </c>
      <c r="E207" s="6">
        <v>2500</v>
      </c>
      <c r="F207" s="18">
        <f>149015.47</f>
        <v>149015.47</v>
      </c>
      <c r="G207" s="18"/>
      <c r="H207" s="18"/>
      <c r="I207" s="18">
        <f>21596.27</f>
        <v>21596.27</v>
      </c>
      <c r="J207" s="18"/>
      <c r="K207" s="18">
        <f>467.61</f>
        <v>467.61</v>
      </c>
      <c r="L207" s="19">
        <f t="shared" si="0"/>
        <v>171079.34999999998</v>
      </c>
      <c r="M207" s="8"/>
      <c r="N207" s="264"/>
    </row>
    <row r="208" spans="1:14" s="3" customFormat="1" ht="12.2" customHeight="1" x14ac:dyDescent="0.15">
      <c r="A208" s="1" t="s">
        <v>447</v>
      </c>
      <c r="B208" s="2" t="s">
        <v>341</v>
      </c>
      <c r="C208" s="2" t="s">
        <v>299</v>
      </c>
      <c r="D208" s="2" t="s">
        <v>431</v>
      </c>
      <c r="E208" s="6">
        <v>2600</v>
      </c>
      <c r="F208" s="18">
        <f>247576.5+118374.69</f>
        <v>365951.19</v>
      </c>
      <c r="G208" s="18">
        <f>212139.89</f>
        <v>212139.89</v>
      </c>
      <c r="H208" s="18">
        <f>187930.67+196295.13</f>
        <v>384225.80000000005</v>
      </c>
      <c r="I208" s="18">
        <f>259872.73+90767.93</f>
        <v>350640.66000000003</v>
      </c>
      <c r="J208" s="18">
        <f>182820.63+23782.5</f>
        <v>206603.13</v>
      </c>
      <c r="K208" s="18"/>
      <c r="L208" s="19">
        <f t="shared" si="0"/>
        <v>1519560.67</v>
      </c>
      <c r="M208" s="8"/>
      <c r="N208" s="264"/>
    </row>
    <row r="209" spans="1:14" s="3" customFormat="1" ht="12.2" customHeight="1" x14ac:dyDescent="0.15">
      <c r="A209" s="1" t="s">
        <v>448</v>
      </c>
      <c r="B209" s="2" t="s">
        <v>341</v>
      </c>
      <c r="C209" s="2" t="s">
        <v>300</v>
      </c>
      <c r="D209" s="2" t="s">
        <v>431</v>
      </c>
      <c r="E209" s="6">
        <v>2700</v>
      </c>
      <c r="F209" s="18"/>
      <c r="G209" s="18"/>
      <c r="H209" s="18">
        <f>170873.99+402545.61</f>
        <v>573419.6</v>
      </c>
      <c r="I209" s="18"/>
      <c r="J209" s="18"/>
      <c r="K209" s="18"/>
      <c r="L209" s="19">
        <f t="shared" si="0"/>
        <v>573419.6</v>
      </c>
      <c r="M209" s="8"/>
      <c r="N209" s="264"/>
    </row>
    <row r="210" spans="1:14" s="3" customFormat="1" ht="12.2" customHeight="1" x14ac:dyDescent="0.15">
      <c r="A210" s="1" t="s">
        <v>449</v>
      </c>
      <c r="B210" s="2" t="s">
        <v>341</v>
      </c>
      <c r="C210" s="2" t="s">
        <v>343</v>
      </c>
      <c r="D210" s="2" t="s">
        <v>431</v>
      </c>
      <c r="E210" s="6">
        <v>2800</v>
      </c>
      <c r="F210" s="18">
        <f>317672.12</f>
        <v>317672.12</v>
      </c>
      <c r="G210" s="18">
        <f>47606.2</f>
        <v>47606.2</v>
      </c>
      <c r="H210" s="18">
        <f>79655.54</f>
        <v>79655.539999999994</v>
      </c>
      <c r="I210" s="18">
        <f>9664.61</f>
        <v>9664.61</v>
      </c>
      <c r="J210" s="18">
        <f>59619.61</f>
        <v>59619.61</v>
      </c>
      <c r="K210" s="18"/>
      <c r="L210" s="19">
        <f>SUM(F210:K210)</f>
        <v>514218.07999999996</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8484441.3100000005</v>
      </c>
      <c r="G212" s="41">
        <f t="shared" si="1"/>
        <v>4175982.14</v>
      </c>
      <c r="H212" s="41">
        <f t="shared" si="1"/>
        <v>1542682.81</v>
      </c>
      <c r="I212" s="41">
        <f t="shared" si="1"/>
        <v>605571.01</v>
      </c>
      <c r="J212" s="41">
        <f t="shared" si="1"/>
        <v>292104.32000000001</v>
      </c>
      <c r="K212" s="41">
        <f t="shared" si="1"/>
        <v>11122.68</v>
      </c>
      <c r="L212" s="41">
        <f t="shared" si="1"/>
        <v>15111904.27</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2528046.7+15347.94</f>
        <v>2543394.64</v>
      </c>
      <c r="G216" s="18">
        <f>1508123.5</f>
        <v>1508123.5</v>
      </c>
      <c r="H216" s="18">
        <f>893</f>
        <v>893</v>
      </c>
      <c r="I216" s="18">
        <f>44052.35</f>
        <v>44052.35</v>
      </c>
      <c r="J216" s="18">
        <f>2951.5</f>
        <v>2951.5</v>
      </c>
      <c r="K216" s="18">
        <f>955</f>
        <v>955</v>
      </c>
      <c r="L216" s="19">
        <f>SUM(F216:K216)</f>
        <v>4100369.99</v>
      </c>
      <c r="M216" s="8"/>
      <c r="N216" s="264"/>
    </row>
    <row r="217" spans="1:14" s="3" customFormat="1" ht="12.2" customHeight="1" x14ac:dyDescent="0.15">
      <c r="A217" s="1" t="s">
        <v>439</v>
      </c>
      <c r="B217" s="2" t="s">
        <v>346</v>
      </c>
      <c r="C217" s="2" t="s">
        <v>291</v>
      </c>
      <c r="D217" s="2" t="s">
        <v>431</v>
      </c>
      <c r="E217" s="6">
        <v>1200</v>
      </c>
      <c r="F217" s="18">
        <f>645707.49+105372.35</f>
        <v>751079.84</v>
      </c>
      <c r="G217" s="18">
        <f>537757.77</f>
        <v>537757.77</v>
      </c>
      <c r="H217" s="18">
        <f>23950.49+74280.11</f>
        <v>98230.6</v>
      </c>
      <c r="I217" s="18">
        <f>1996.36+253.06</f>
        <v>2249.42</v>
      </c>
      <c r="J217" s="18">
        <f>180.88</f>
        <v>180.88</v>
      </c>
      <c r="K217" s="18"/>
      <c r="L217" s="19">
        <f>SUM(F217:K217)</f>
        <v>1389498.5099999998</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f>38864.18+890.4</f>
        <v>39754.58</v>
      </c>
      <c r="G219" s="18">
        <f>5272.13</f>
        <v>5272.13</v>
      </c>
      <c r="H219" s="18">
        <f>3236</f>
        <v>3236</v>
      </c>
      <c r="I219" s="18">
        <f>4755.92</f>
        <v>4755.92</v>
      </c>
      <c r="J219" s="18">
        <f>5850</f>
        <v>5850</v>
      </c>
      <c r="K219" s="18">
        <f>1385</f>
        <v>1385</v>
      </c>
      <c r="L219" s="19">
        <f>SUM(F219:K219)</f>
        <v>60253.63</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309064.16+186884.38</f>
        <v>495948.54</v>
      </c>
      <c r="G221" s="18">
        <f>210592.5</f>
        <v>210592.5</v>
      </c>
      <c r="H221" s="18">
        <f>8042.7+52510.16</f>
        <v>60552.86</v>
      </c>
      <c r="I221" s="18">
        <f>2526.4+1202.14</f>
        <v>3728.54</v>
      </c>
      <c r="J221" s="18">
        <f>229.5</f>
        <v>229.5</v>
      </c>
      <c r="K221" s="18"/>
      <c r="L221" s="19">
        <f t="shared" ref="L221:L227" si="2">SUM(F221:K221)</f>
        <v>771051.94000000006</v>
      </c>
      <c r="M221" s="8"/>
      <c r="N221" s="264"/>
    </row>
    <row r="222" spans="1:14" s="3" customFormat="1" ht="12.2" customHeight="1" x14ac:dyDescent="0.15">
      <c r="A222" s="1" t="s">
        <v>443</v>
      </c>
      <c r="B222" s="2" t="s">
        <v>346</v>
      </c>
      <c r="C222" s="2" t="s">
        <v>295</v>
      </c>
      <c r="D222" s="2" t="s">
        <v>431</v>
      </c>
      <c r="E222" s="6">
        <v>2200</v>
      </c>
      <c r="F222" s="18">
        <f>94650.81+2380</f>
        <v>97030.81</v>
      </c>
      <c r="G222" s="18">
        <f>46277.63</f>
        <v>46277.63</v>
      </c>
      <c r="H222" s="18">
        <f>889.05+15964.42</f>
        <v>16853.47</v>
      </c>
      <c r="I222" s="18">
        <f>4481.75+24386.43</f>
        <v>28868.18</v>
      </c>
      <c r="J222" s="18">
        <f>289.99</f>
        <v>289.99</v>
      </c>
      <c r="K222" s="18">
        <f>120.12</f>
        <v>120.12</v>
      </c>
      <c r="L222" s="19">
        <f t="shared" si="2"/>
        <v>189440.19999999998</v>
      </c>
      <c r="M222" s="8"/>
      <c r="N222" s="264"/>
    </row>
    <row r="223" spans="1:14" s="3" customFormat="1" ht="12.2" customHeight="1" x14ac:dyDescent="0.15">
      <c r="A223" s="1" t="s">
        <v>444</v>
      </c>
      <c r="B223" s="2" t="s">
        <v>346</v>
      </c>
      <c r="C223" s="2" t="s">
        <v>296</v>
      </c>
      <c r="D223" s="2" t="s">
        <v>431</v>
      </c>
      <c r="E223" s="6">
        <v>2300</v>
      </c>
      <c r="F223" s="18">
        <f>76292.31+284815.28</f>
        <v>361107.59</v>
      </c>
      <c r="G223" s="18">
        <f>201805.61</f>
        <v>201805.61</v>
      </c>
      <c r="H223" s="18">
        <f>64066.99</f>
        <v>64066.99</v>
      </c>
      <c r="I223" s="18">
        <f>4743.09</f>
        <v>4743.09</v>
      </c>
      <c r="J223" s="18"/>
      <c r="K223" s="18">
        <f>5463.19</f>
        <v>5463.19</v>
      </c>
      <c r="L223" s="19">
        <f t="shared" si="2"/>
        <v>637186.46999999986</v>
      </c>
      <c r="M223" s="8"/>
      <c r="N223" s="264"/>
    </row>
    <row r="224" spans="1:14" s="3" customFormat="1" ht="12.2" customHeight="1" x14ac:dyDescent="0.15">
      <c r="A224" s="1" t="s">
        <v>445</v>
      </c>
      <c r="B224" s="2" t="s">
        <v>346</v>
      </c>
      <c r="C224" s="2" t="s">
        <v>297</v>
      </c>
      <c r="D224" s="2" t="s">
        <v>431</v>
      </c>
      <c r="E224" s="6">
        <v>2400</v>
      </c>
      <c r="F224" s="18">
        <f>335071.23</f>
        <v>335071.23</v>
      </c>
      <c r="G224" s="18">
        <f>231388.15</f>
        <v>231388.15</v>
      </c>
      <c r="H224" s="18">
        <f>2252.33</f>
        <v>2252.33</v>
      </c>
      <c r="I224" s="18">
        <f>985.71</f>
        <v>985.71</v>
      </c>
      <c r="J224" s="18">
        <f>199.96</f>
        <v>199.96</v>
      </c>
      <c r="K224" s="18">
        <f>2166.94</f>
        <v>2166.94</v>
      </c>
      <c r="L224" s="19">
        <f t="shared" si="2"/>
        <v>572064.31999999983</v>
      </c>
      <c r="M224" s="8"/>
      <c r="N224" s="264"/>
    </row>
    <row r="225" spans="1:14" s="3" customFormat="1" ht="12.2" customHeight="1" x14ac:dyDescent="0.15">
      <c r="A225" s="1" t="s">
        <v>446</v>
      </c>
      <c r="B225" s="2" t="s">
        <v>346</v>
      </c>
      <c r="C225" s="2" t="s">
        <v>298</v>
      </c>
      <c r="D225" s="2" t="s">
        <v>431</v>
      </c>
      <c r="E225" s="6">
        <v>2500</v>
      </c>
      <c r="F225" s="18">
        <f>106985.46</f>
        <v>106985.46</v>
      </c>
      <c r="G225" s="18"/>
      <c r="H225" s="18"/>
      <c r="I225" s="18">
        <f>15505.02</f>
        <v>15505.02</v>
      </c>
      <c r="J225" s="18"/>
      <c r="K225" s="18">
        <f>335.72</f>
        <v>335.72</v>
      </c>
      <c r="L225" s="19">
        <f t="shared" si="2"/>
        <v>122826.20000000001</v>
      </c>
      <c r="M225" s="8"/>
      <c r="N225" s="264"/>
    </row>
    <row r="226" spans="1:14" s="3" customFormat="1" ht="12.2" customHeight="1" x14ac:dyDescent="0.15">
      <c r="A226" s="1" t="s">
        <v>447</v>
      </c>
      <c r="B226" s="2" t="s">
        <v>346</v>
      </c>
      <c r="C226" s="2" t="s">
        <v>299</v>
      </c>
      <c r="D226" s="2" t="s">
        <v>431</v>
      </c>
      <c r="E226" s="6">
        <v>2600</v>
      </c>
      <c r="F226" s="18">
        <f>147687.23+67642.68</f>
        <v>215329.91</v>
      </c>
      <c r="G226" s="18">
        <f>136782.61</f>
        <v>136782.60999999999</v>
      </c>
      <c r="H226" s="18">
        <f>38568.72+117702.16</f>
        <v>156270.88</v>
      </c>
      <c r="I226" s="18">
        <f>112409.49+51867.39</f>
        <v>164276.88</v>
      </c>
      <c r="J226" s="18">
        <f>13590</f>
        <v>13590</v>
      </c>
      <c r="K226" s="18"/>
      <c r="L226" s="19">
        <f t="shared" si="2"/>
        <v>686250.28</v>
      </c>
      <c r="M226" s="8"/>
      <c r="N226" s="264"/>
    </row>
    <row r="227" spans="1:14" s="3" customFormat="1" ht="12.2" customHeight="1" x14ac:dyDescent="0.15">
      <c r="A227" s="1" t="s">
        <v>448</v>
      </c>
      <c r="B227" s="2" t="s">
        <v>346</v>
      </c>
      <c r="C227" s="2" t="s">
        <v>300</v>
      </c>
      <c r="D227" s="2" t="s">
        <v>431</v>
      </c>
      <c r="E227" s="6">
        <v>2700</v>
      </c>
      <c r="F227" s="18"/>
      <c r="G227" s="18"/>
      <c r="H227" s="18">
        <f>55960.32+237214.38</f>
        <v>293174.7</v>
      </c>
      <c r="I227" s="18"/>
      <c r="J227" s="18"/>
      <c r="K227" s="18"/>
      <c r="L227" s="19">
        <f t="shared" si="2"/>
        <v>293174.7</v>
      </c>
      <c r="M227" s="8"/>
      <c r="N227" s="264"/>
    </row>
    <row r="228" spans="1:14" s="3" customFormat="1" ht="12.2" customHeight="1" x14ac:dyDescent="0.15">
      <c r="A228" s="1" t="s">
        <v>449</v>
      </c>
      <c r="B228" s="2" t="s">
        <v>346</v>
      </c>
      <c r="C228" s="2" t="s">
        <v>343</v>
      </c>
      <c r="D228" s="2" t="s">
        <v>431</v>
      </c>
      <c r="E228" s="6">
        <v>2800</v>
      </c>
      <c r="F228" s="18">
        <f>228072.29</f>
        <v>228072.29</v>
      </c>
      <c r="G228" s="18">
        <f>50963.97</f>
        <v>50963.97</v>
      </c>
      <c r="H228" s="18">
        <f>57188.59</f>
        <v>57188.59</v>
      </c>
      <c r="I228" s="18">
        <f>6938.69</f>
        <v>6938.69</v>
      </c>
      <c r="J228" s="18">
        <f>42803.82</f>
        <v>42803.82</v>
      </c>
      <c r="K228" s="18"/>
      <c r="L228" s="19">
        <f>SUM(F228:K228)</f>
        <v>385967.35999999999</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5173774.8900000006</v>
      </c>
      <c r="G230" s="41">
        <f>SUM(G216:G229)</f>
        <v>2928963.8699999996</v>
      </c>
      <c r="H230" s="41">
        <f>SUM(H216:H229)</f>
        <v>752719.42</v>
      </c>
      <c r="I230" s="41">
        <f>SUM(I216:I229)</f>
        <v>276103.8</v>
      </c>
      <c r="J230" s="41">
        <f>SUM(J216:J229)</f>
        <v>66095.649999999994</v>
      </c>
      <c r="K230" s="41">
        <f t="shared" si="3"/>
        <v>10425.969999999999</v>
      </c>
      <c r="L230" s="41">
        <f t="shared" si="3"/>
        <v>9208083.5999999996</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2948971.23+18088.65</f>
        <v>2967059.88</v>
      </c>
      <c r="G234" s="18">
        <f>2089114.97</f>
        <v>2089114.97</v>
      </c>
      <c r="H234" s="18">
        <f>5825.08</f>
        <v>5825.08</v>
      </c>
      <c r="I234" s="18">
        <f>62073.58</f>
        <v>62073.58</v>
      </c>
      <c r="J234" s="18">
        <f>115909.35</f>
        <v>115909.35</v>
      </c>
      <c r="K234" s="18">
        <f>2741.59</f>
        <v>2741.59</v>
      </c>
      <c r="L234" s="19">
        <f>SUM(F234:K234)</f>
        <v>5242724.4499999993</v>
      </c>
      <c r="M234" s="8"/>
      <c r="N234" s="264"/>
    </row>
    <row r="235" spans="1:14" s="3" customFormat="1" ht="12.2" customHeight="1" x14ac:dyDescent="0.15">
      <c r="A235" s="1" t="s">
        <v>439</v>
      </c>
      <c r="B235" s="2" t="s">
        <v>350</v>
      </c>
      <c r="C235" s="2" t="s">
        <v>291</v>
      </c>
      <c r="D235" s="2" t="s">
        <v>431</v>
      </c>
      <c r="E235" s="6">
        <v>1200</v>
      </c>
      <c r="F235" s="18">
        <f>679029.93+219460.04</f>
        <v>898489.97000000009</v>
      </c>
      <c r="G235" s="18">
        <f>525128.11</f>
        <v>525128.11</v>
      </c>
      <c r="H235" s="18">
        <f>651694.97+66595.96</f>
        <v>718290.92999999993</v>
      </c>
      <c r="I235" s="18">
        <f>827.13+865.73</f>
        <v>1692.8600000000001</v>
      </c>
      <c r="J235" s="18">
        <f>618.79</f>
        <v>618.79</v>
      </c>
      <c r="K235" s="18"/>
      <c r="L235" s="19">
        <f>SUM(F235:K235)</f>
        <v>2144220.6599999997</v>
      </c>
      <c r="M235" s="8"/>
      <c r="N235" s="264"/>
    </row>
    <row r="236" spans="1:14" s="3" customFormat="1" ht="12.2" customHeight="1" x14ac:dyDescent="0.15">
      <c r="A236" s="1" t="s">
        <v>440</v>
      </c>
      <c r="B236" s="2" t="s">
        <v>350</v>
      </c>
      <c r="C236" s="2" t="s">
        <v>292</v>
      </c>
      <c r="D236" s="2" t="s">
        <v>431</v>
      </c>
      <c r="E236" s="6">
        <v>1300</v>
      </c>
      <c r="F236" s="18">
        <f>876400.72</f>
        <v>876400.72</v>
      </c>
      <c r="G236" s="18">
        <f>397645.24</f>
        <v>397645.24</v>
      </c>
      <c r="H236" s="18">
        <f>22099.92</f>
        <v>22099.919999999998</v>
      </c>
      <c r="I236" s="18">
        <f>23872.25</f>
        <v>23872.25</v>
      </c>
      <c r="J236" s="18">
        <f>145952.96</f>
        <v>145952.95999999999</v>
      </c>
      <c r="K236" s="18">
        <f>1353.59</f>
        <v>1353.59</v>
      </c>
      <c r="L236" s="19">
        <f>SUM(F236:K236)</f>
        <v>1467324.68</v>
      </c>
      <c r="M236" s="8"/>
      <c r="N236" s="264"/>
    </row>
    <row r="237" spans="1:14" s="3" customFormat="1" ht="12.2" customHeight="1" x14ac:dyDescent="0.15">
      <c r="A237" s="1" t="s">
        <v>441</v>
      </c>
      <c r="B237" s="2" t="s">
        <v>350</v>
      </c>
      <c r="C237" s="2" t="s">
        <v>293</v>
      </c>
      <c r="D237" s="2" t="s">
        <v>431</v>
      </c>
      <c r="E237" s="6">
        <v>1400</v>
      </c>
      <c r="F237" s="18">
        <f>233928.33+1049.4</f>
        <v>234977.72999999998</v>
      </c>
      <c r="G237" s="18">
        <f>13930.25</f>
        <v>13930.25</v>
      </c>
      <c r="H237" s="18">
        <f>28226.49</f>
        <v>28226.49</v>
      </c>
      <c r="I237" s="18">
        <f>19873.48</f>
        <v>19873.48</v>
      </c>
      <c r="J237" s="18">
        <f>15995</f>
        <v>15995</v>
      </c>
      <c r="K237" s="18">
        <f>10865</f>
        <v>10865</v>
      </c>
      <c r="L237" s="19">
        <f>SUM(F237:K237)</f>
        <v>323867.94999999995</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520564.71+111725.28</f>
        <v>632289.99</v>
      </c>
      <c r="G239" s="18">
        <f>350366.83</f>
        <v>350366.83</v>
      </c>
      <c r="H239" s="18">
        <f>7021.68+65975.43</f>
        <v>72997.109999999986</v>
      </c>
      <c r="I239" s="18">
        <f>10015.75+1066.55</f>
        <v>11082.3</v>
      </c>
      <c r="J239" s="18">
        <f>331.5</f>
        <v>331.5</v>
      </c>
      <c r="K239" s="18">
        <f>471.24</f>
        <v>471.24</v>
      </c>
      <c r="L239" s="19">
        <f t="shared" ref="L239:L245" si="4">SUM(F239:K239)</f>
        <v>1067538.9700000002</v>
      </c>
      <c r="M239" s="8"/>
      <c r="N239" s="264"/>
    </row>
    <row r="240" spans="1:14" s="3" customFormat="1" ht="12.2" customHeight="1" x14ac:dyDescent="0.15">
      <c r="A240" s="1" t="s">
        <v>443</v>
      </c>
      <c r="B240" s="2" t="s">
        <v>350</v>
      </c>
      <c r="C240" s="2" t="s">
        <v>295</v>
      </c>
      <c r="D240" s="2" t="s">
        <v>431</v>
      </c>
      <c r="E240" s="6">
        <v>2200</v>
      </c>
      <c r="F240" s="18">
        <f>112279.85+2805</f>
        <v>115084.85</v>
      </c>
      <c r="G240" s="18">
        <f>54454.6</f>
        <v>54454.6</v>
      </c>
      <c r="H240" s="18">
        <f>20951+18815.21</f>
        <v>39766.21</v>
      </c>
      <c r="I240" s="18">
        <f>35605.32+28741.15</f>
        <v>64346.47</v>
      </c>
      <c r="J240" s="18">
        <f>4944</f>
        <v>4944</v>
      </c>
      <c r="K240" s="18">
        <f>141.57</f>
        <v>141.57</v>
      </c>
      <c r="L240" s="19">
        <f t="shared" si="4"/>
        <v>278737.7</v>
      </c>
      <c r="M240" s="8"/>
      <c r="N240" s="264"/>
    </row>
    <row r="241" spans="1:14" s="3" customFormat="1" ht="12.2" customHeight="1" x14ac:dyDescent="0.15">
      <c r="A241" s="1" t="s">
        <v>444</v>
      </c>
      <c r="B241" s="2" t="s">
        <v>350</v>
      </c>
      <c r="C241" s="2" t="s">
        <v>296</v>
      </c>
      <c r="D241" s="2" t="s">
        <v>431</v>
      </c>
      <c r="E241" s="6">
        <v>2300</v>
      </c>
      <c r="F241" s="18">
        <f>419393.64</f>
        <v>419393.64</v>
      </c>
      <c r="G241" s="18">
        <f>313219.5</f>
        <v>313219.5</v>
      </c>
      <c r="H241" s="18">
        <f>75300.05</f>
        <v>75300.05</v>
      </c>
      <c r="I241" s="18">
        <f>5269.54</f>
        <v>5269.54</v>
      </c>
      <c r="J241" s="18">
        <f>341.78</f>
        <v>341.78</v>
      </c>
      <c r="K241" s="18">
        <f>6164.8</f>
        <v>6164.8</v>
      </c>
      <c r="L241" s="19">
        <f t="shared" si="4"/>
        <v>819689.31000000017</v>
      </c>
      <c r="M241" s="8"/>
      <c r="N241" s="264"/>
    </row>
    <row r="242" spans="1:14" s="3" customFormat="1" ht="12.2" customHeight="1" x14ac:dyDescent="0.15">
      <c r="A242" s="1" t="s">
        <v>445</v>
      </c>
      <c r="B242" s="2" t="s">
        <v>350</v>
      </c>
      <c r="C242" s="2" t="s">
        <v>297</v>
      </c>
      <c r="D242" s="2" t="s">
        <v>431</v>
      </c>
      <c r="E242" s="6">
        <v>2400</v>
      </c>
      <c r="F242" s="18">
        <f>432419.64</f>
        <v>432419.64</v>
      </c>
      <c r="G242" s="18">
        <f>256654.25</f>
        <v>256654.25</v>
      </c>
      <c r="H242" s="18">
        <f>5617.99</f>
        <v>5617.99</v>
      </c>
      <c r="I242" s="18">
        <f>10603.38</f>
        <v>10603.38</v>
      </c>
      <c r="J242" s="18">
        <f>6508.82</f>
        <v>6508.82</v>
      </c>
      <c r="K242" s="18">
        <f>23063.97</f>
        <v>23063.97</v>
      </c>
      <c r="L242" s="19">
        <f t="shared" si="4"/>
        <v>734868.04999999993</v>
      </c>
      <c r="M242" s="8"/>
      <c r="N242" s="264"/>
    </row>
    <row r="243" spans="1:14" s="3" customFormat="1" ht="12.2" customHeight="1" x14ac:dyDescent="0.15">
      <c r="A243" s="1" t="s">
        <v>446</v>
      </c>
      <c r="B243" s="2" t="s">
        <v>350</v>
      </c>
      <c r="C243" s="2" t="s">
        <v>298</v>
      </c>
      <c r="D243" s="2" t="s">
        <v>431</v>
      </c>
      <c r="E243" s="6">
        <v>2500</v>
      </c>
      <c r="F243" s="18">
        <f>126090.01</f>
        <v>126090.01</v>
      </c>
      <c r="G243" s="18"/>
      <c r="H243" s="18"/>
      <c r="I243" s="18">
        <f>18273.77</f>
        <v>18273.77</v>
      </c>
      <c r="J243" s="18"/>
      <c r="K243" s="18">
        <f>395.67</f>
        <v>395.67</v>
      </c>
      <c r="L243" s="19">
        <f t="shared" si="4"/>
        <v>144759.45000000001</v>
      </c>
      <c r="M243" s="8"/>
      <c r="N243" s="264"/>
    </row>
    <row r="244" spans="1:14" s="3" customFormat="1" ht="12.2" customHeight="1" x14ac:dyDescent="0.15">
      <c r="A244" s="1" t="s">
        <v>447</v>
      </c>
      <c r="B244" s="2" t="s">
        <v>350</v>
      </c>
      <c r="C244" s="2" t="s">
        <v>299</v>
      </c>
      <c r="D244" s="2" t="s">
        <v>431</v>
      </c>
      <c r="E244" s="6">
        <v>2600</v>
      </c>
      <c r="F244" s="18">
        <f>189095.37+95827.13</f>
        <v>284922.5</v>
      </c>
      <c r="G244" s="18">
        <f>186158.76</f>
        <v>186158.76</v>
      </c>
      <c r="H244" s="18">
        <f>183268.72+160288.96</f>
        <v>343557.68</v>
      </c>
      <c r="I244" s="18">
        <f>240265.47+73478.8</f>
        <v>313744.27</v>
      </c>
      <c r="J244" s="18">
        <f>15598+19252.5</f>
        <v>34850.5</v>
      </c>
      <c r="K244" s="18"/>
      <c r="L244" s="19">
        <f t="shared" si="4"/>
        <v>1163233.71</v>
      </c>
      <c r="M244" s="8"/>
      <c r="N244" s="264"/>
    </row>
    <row r="245" spans="1:14" s="3" customFormat="1" ht="12.2" customHeight="1" x14ac:dyDescent="0.15">
      <c r="A245" s="1" t="s">
        <v>448</v>
      </c>
      <c r="B245" s="2" t="s">
        <v>350</v>
      </c>
      <c r="C245" s="2" t="s">
        <v>300</v>
      </c>
      <c r="D245" s="2" t="s">
        <v>431</v>
      </c>
      <c r="E245" s="6">
        <v>2700</v>
      </c>
      <c r="F245" s="18"/>
      <c r="G245" s="18"/>
      <c r="H245" s="18">
        <f>160229.07+79071.46</f>
        <v>239300.53000000003</v>
      </c>
      <c r="I245" s="18"/>
      <c r="J245" s="18"/>
      <c r="K245" s="18"/>
      <c r="L245" s="19">
        <f t="shared" si="4"/>
        <v>239300.53000000003</v>
      </c>
      <c r="M245" s="8"/>
      <c r="N245" s="264"/>
    </row>
    <row r="246" spans="1:14" s="3" customFormat="1" ht="12.2" customHeight="1" x14ac:dyDescent="0.15">
      <c r="A246" s="1" t="s">
        <v>449</v>
      </c>
      <c r="B246" s="2" t="s">
        <v>350</v>
      </c>
      <c r="C246" s="2" t="s">
        <v>343</v>
      </c>
      <c r="D246" s="2" t="s">
        <v>431</v>
      </c>
      <c r="E246" s="6">
        <v>2800</v>
      </c>
      <c r="F246" s="18">
        <f>268799.49</f>
        <v>268799.49</v>
      </c>
      <c r="G246" s="18">
        <f>34614.55</f>
        <v>34614.550000000003</v>
      </c>
      <c r="H246" s="18">
        <f>67400.84</f>
        <v>67400.84</v>
      </c>
      <c r="I246" s="18">
        <f>8177.74</f>
        <v>8177.74</v>
      </c>
      <c r="J246" s="18">
        <f>50447.36</f>
        <v>50447.360000000001</v>
      </c>
      <c r="K246" s="18"/>
      <c r="L246" s="19">
        <f>SUM(F246:K246)</f>
        <v>429439.98</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7255928.4199999999</v>
      </c>
      <c r="G248" s="41">
        <f t="shared" si="5"/>
        <v>4221287.0600000005</v>
      </c>
      <c r="H248" s="41">
        <f t="shared" si="5"/>
        <v>1618382.83</v>
      </c>
      <c r="I248" s="41">
        <f t="shared" si="5"/>
        <v>539009.64</v>
      </c>
      <c r="J248" s="41">
        <f t="shared" si="5"/>
        <v>375900.06</v>
      </c>
      <c r="K248" s="41">
        <f t="shared" si="5"/>
        <v>45197.43</v>
      </c>
      <c r="L248" s="41">
        <f t="shared" si="5"/>
        <v>14055705.439999999</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20914144.620000001</v>
      </c>
      <c r="G258" s="41">
        <f t="shared" si="8"/>
        <v>11326233.07</v>
      </c>
      <c r="H258" s="41">
        <f t="shared" si="8"/>
        <v>3913785.06</v>
      </c>
      <c r="I258" s="41">
        <f t="shared" si="8"/>
        <v>1420684.4500000002</v>
      </c>
      <c r="J258" s="41">
        <f t="shared" si="8"/>
        <v>734100.03</v>
      </c>
      <c r="K258" s="41">
        <f t="shared" si="8"/>
        <v>66746.080000000002</v>
      </c>
      <c r="L258" s="41">
        <f t="shared" si="8"/>
        <v>38375693.309999995</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628795.46</v>
      </c>
      <c r="L261" s="19">
        <f>SUM(F261:K261)</f>
        <v>628795.46</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192069.53</v>
      </c>
      <c r="L262" s="19">
        <f>SUM(F262:K262)</f>
        <v>192069.53</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61273.97</v>
      </c>
      <c r="L264" s="19">
        <f>SUM(F264:K264)</f>
        <v>61273.97</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600000</v>
      </c>
      <c r="L267" s="19">
        <f t="shared" si="9"/>
        <v>600000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1482138.96</v>
      </c>
      <c r="L271" s="41">
        <f t="shared" si="9"/>
        <v>1482138.96</v>
      </c>
      <c r="M271" s="8"/>
      <c r="N271" s="264"/>
    </row>
    <row r="272" spans="1:14" s="34" customFormat="1" ht="12.2" customHeight="1" thickTop="1" x14ac:dyDescent="0.2">
      <c r="A272" s="43" t="s">
        <v>464</v>
      </c>
      <c r="B272" s="40">
        <v>10</v>
      </c>
      <c r="C272" s="40">
        <v>18</v>
      </c>
      <c r="D272" s="39" t="s">
        <v>431</v>
      </c>
      <c r="E272" s="40"/>
      <c r="F272" s="42">
        <f t="shared" ref="F272:L272" si="11">F258+F271</f>
        <v>20914144.620000001</v>
      </c>
      <c r="G272" s="42">
        <f t="shared" si="11"/>
        <v>11326233.07</v>
      </c>
      <c r="H272" s="42">
        <f t="shared" si="11"/>
        <v>3913785.06</v>
      </c>
      <c r="I272" s="42">
        <f t="shared" si="11"/>
        <v>1420684.4500000002</v>
      </c>
      <c r="J272" s="42">
        <f t="shared" si="11"/>
        <v>734100.03</v>
      </c>
      <c r="K272" s="42">
        <f t="shared" si="11"/>
        <v>1548885.04</v>
      </c>
      <c r="L272" s="42">
        <f t="shared" si="11"/>
        <v>39857832.269999996</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86957.4+6921.63-0.02</f>
        <v>93879.01</v>
      </c>
      <c r="G277" s="18">
        <f>6283.58</f>
        <v>6283.58</v>
      </c>
      <c r="H277" s="18"/>
      <c r="I277" s="18">
        <f>4837.64+6408.77</f>
        <v>11246.41</v>
      </c>
      <c r="J277" s="18">
        <f>14509.83</f>
        <v>14509.83</v>
      </c>
      <c r="K277" s="18"/>
      <c r="L277" s="19">
        <f>SUM(F277:K277)</f>
        <v>125918.83</v>
      </c>
      <c r="M277" s="8"/>
      <c r="N277" s="264"/>
    </row>
    <row r="278" spans="1:14" s="3" customFormat="1" ht="12.2" customHeight="1" x14ac:dyDescent="0.15">
      <c r="A278" s="1" t="s">
        <v>439</v>
      </c>
      <c r="B278" s="2" t="s">
        <v>357</v>
      </c>
      <c r="C278" s="2" t="s">
        <v>291</v>
      </c>
      <c r="D278" s="2" t="s">
        <v>431</v>
      </c>
      <c r="E278" s="6">
        <v>1200</v>
      </c>
      <c r="F278" s="18">
        <f>114460.13</f>
        <v>114460.13</v>
      </c>
      <c r="G278" s="18">
        <f>48012.85</f>
        <v>48012.85</v>
      </c>
      <c r="H278" s="18">
        <f>17935.52</f>
        <v>17935.52</v>
      </c>
      <c r="I278" s="18">
        <f>3452.29</f>
        <v>3452.29</v>
      </c>
      <c r="J278" s="18">
        <f>249.59</f>
        <v>249.59</v>
      </c>
      <c r="K278" s="18"/>
      <c r="L278" s="19">
        <f>SUM(F278:K278)</f>
        <v>184110.38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f>15790.5</f>
        <v>15790.5</v>
      </c>
      <c r="G280" s="18">
        <f>1207.87</f>
        <v>1207.8699999999999</v>
      </c>
      <c r="H280" s="18">
        <f>1094.52+3576.61</f>
        <v>4671.13</v>
      </c>
      <c r="I280" s="18">
        <f>10969.6</f>
        <v>10969.6</v>
      </c>
      <c r="J280" s="18">
        <f>944.33</f>
        <v>944.33</v>
      </c>
      <c r="K280" s="18"/>
      <c r="L280" s="19">
        <f>SUM(F280:K280)</f>
        <v>33583.43</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f>115+983.71</f>
        <v>1098.71</v>
      </c>
      <c r="I282" s="18">
        <f>970.14+237.47</f>
        <v>1207.6099999999999</v>
      </c>
      <c r="J282" s="18"/>
      <c r="K282" s="18"/>
      <c r="L282" s="19">
        <f t="shared" ref="L282:L288" si="12">SUM(F282:K282)</f>
        <v>2306.3199999999997</v>
      </c>
      <c r="M282" s="8"/>
      <c r="N282" s="264"/>
    </row>
    <row r="283" spans="1:14" s="3" customFormat="1" ht="12.2" customHeight="1" x14ac:dyDescent="0.15">
      <c r="A283" s="1" t="s">
        <v>443</v>
      </c>
      <c r="B283" s="2" t="s">
        <v>357</v>
      </c>
      <c r="C283" s="2" t="s">
        <v>295</v>
      </c>
      <c r="D283" s="2" t="s">
        <v>431</v>
      </c>
      <c r="E283" s="6">
        <v>2200</v>
      </c>
      <c r="F283" s="18">
        <f>10123.58</f>
        <v>10123.58</v>
      </c>
      <c r="G283" s="18">
        <f>2237.6</f>
        <v>2237.6</v>
      </c>
      <c r="H283" s="18">
        <f>38820.01+12713.61</f>
        <v>51533.62</v>
      </c>
      <c r="I283" s="18">
        <f>3261.12</f>
        <v>3261.12</v>
      </c>
      <c r="J283" s="18"/>
      <c r="K283" s="18"/>
      <c r="L283" s="19">
        <f t="shared" si="12"/>
        <v>67155.92</v>
      </c>
      <c r="M283" s="8"/>
      <c r="N283" s="264"/>
    </row>
    <row r="284" spans="1:14" s="3" customFormat="1" ht="12.2" customHeight="1" x14ac:dyDescent="0.15">
      <c r="A284" s="1" t="s">
        <v>444</v>
      </c>
      <c r="B284" s="2" t="s">
        <v>357</v>
      </c>
      <c r="C284" s="2" t="s">
        <v>296</v>
      </c>
      <c r="D284" s="2" t="s">
        <v>431</v>
      </c>
      <c r="E284" s="6">
        <v>2300</v>
      </c>
      <c r="F284" s="18">
        <f>79717.9</f>
        <v>79717.899999999994</v>
      </c>
      <c r="G284" s="18">
        <f>21857.58</f>
        <v>21857.58</v>
      </c>
      <c r="H284" s="18">
        <f>40211.07</f>
        <v>40211.07</v>
      </c>
      <c r="I284" s="18">
        <f>79458.98</f>
        <v>79458.98</v>
      </c>
      <c r="J284" s="18">
        <f>72013.48</f>
        <v>72013.48</v>
      </c>
      <c r="K284" s="18"/>
      <c r="L284" s="19">
        <f t="shared" si="12"/>
        <v>293259.00999999995</v>
      </c>
      <c r="M284" s="8"/>
      <c r="N284" s="264"/>
    </row>
    <row r="285" spans="1:14" s="3" customFormat="1" ht="12.2" customHeight="1" x14ac:dyDescent="0.15">
      <c r="A285" s="1" t="s">
        <v>445</v>
      </c>
      <c r="B285" s="2" t="s">
        <v>357</v>
      </c>
      <c r="C285" s="2" t="s">
        <v>297</v>
      </c>
      <c r="D285" s="2" t="s">
        <v>431</v>
      </c>
      <c r="E285" s="6">
        <v>2400</v>
      </c>
      <c r="F285" s="18"/>
      <c r="G285" s="18"/>
      <c r="H285" s="18">
        <f>1638</f>
        <v>1638</v>
      </c>
      <c r="I285" s="18"/>
      <c r="J285" s="18"/>
      <c r="K285" s="18"/>
      <c r="L285" s="19">
        <f t="shared" si="12"/>
        <v>1638</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f>17147</f>
        <v>17147</v>
      </c>
      <c r="I287" s="18"/>
      <c r="J287" s="18"/>
      <c r="K287" s="18"/>
      <c r="L287" s="19">
        <f t="shared" si="12"/>
        <v>17147</v>
      </c>
      <c r="M287" s="8"/>
      <c r="N287" s="264"/>
    </row>
    <row r="288" spans="1:14" s="3" customFormat="1" ht="12.2" customHeight="1" x14ac:dyDescent="0.15">
      <c r="A288" s="1" t="s">
        <v>448</v>
      </c>
      <c r="B288" s="2" t="s">
        <v>357</v>
      </c>
      <c r="C288" s="2" t="s">
        <v>300</v>
      </c>
      <c r="D288" s="2" t="s">
        <v>431</v>
      </c>
      <c r="E288" s="6">
        <v>2700</v>
      </c>
      <c r="F288" s="18"/>
      <c r="G288" s="18"/>
      <c r="H288" s="18">
        <f>16431.77</f>
        <v>16431.77</v>
      </c>
      <c r="I288" s="18"/>
      <c r="J288" s="18"/>
      <c r="K288" s="18"/>
      <c r="L288" s="19">
        <f t="shared" si="12"/>
        <v>16431.77</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313971.12</v>
      </c>
      <c r="G291" s="42">
        <f t="shared" si="13"/>
        <v>79599.48000000001</v>
      </c>
      <c r="H291" s="42">
        <f t="shared" si="13"/>
        <v>150666.82</v>
      </c>
      <c r="I291" s="42">
        <f t="shared" si="13"/>
        <v>109596.01</v>
      </c>
      <c r="J291" s="42">
        <f t="shared" si="13"/>
        <v>87717.23</v>
      </c>
      <c r="K291" s="42">
        <f t="shared" si="13"/>
        <v>0</v>
      </c>
      <c r="L291" s="41">
        <f t="shared" si="13"/>
        <v>741550.65999999992</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4969.38</f>
        <v>4969.38</v>
      </c>
      <c r="G296" s="18"/>
      <c r="H296" s="18"/>
      <c r="I296" s="18">
        <f>4601.17</f>
        <v>4601.17</v>
      </c>
      <c r="J296" s="18">
        <f>10417.32</f>
        <v>10417.32</v>
      </c>
      <c r="K296" s="18"/>
      <c r="L296" s="19">
        <f>SUM(F296:K296)</f>
        <v>19987.87</v>
      </c>
      <c r="M296" s="8"/>
      <c r="N296" s="264"/>
    </row>
    <row r="297" spans="1:14" s="3" customFormat="1" ht="12.2" customHeight="1" x14ac:dyDescent="0.15">
      <c r="A297" s="1" t="s">
        <v>439</v>
      </c>
      <c r="B297" s="2" t="s">
        <v>358</v>
      </c>
      <c r="C297" s="2" t="s">
        <v>291</v>
      </c>
      <c r="D297" s="2" t="s">
        <v>431</v>
      </c>
      <c r="E297" s="6">
        <v>1200</v>
      </c>
      <c r="F297" s="18">
        <f>82176.51</f>
        <v>82176.509999999995</v>
      </c>
      <c r="G297" s="18">
        <f>34470.77</f>
        <v>34470.769999999997</v>
      </c>
      <c r="H297" s="18">
        <f>12876.78</f>
        <v>12876.78</v>
      </c>
      <c r="I297" s="18">
        <f>2478.57</f>
        <v>2478.5700000000002</v>
      </c>
      <c r="J297" s="18">
        <f>179.19</f>
        <v>179.19</v>
      </c>
      <c r="K297" s="18"/>
      <c r="L297" s="19">
        <f>SUM(F297:K297)</f>
        <v>132181.82</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f>32899.18</f>
        <v>32899.18</v>
      </c>
      <c r="I299" s="18"/>
      <c r="J299" s="18">
        <f>677.98</f>
        <v>677.98</v>
      </c>
      <c r="K299" s="18"/>
      <c r="L299" s="19">
        <f>SUM(F299:K299)</f>
        <v>33577.160000000003</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f>706.26</f>
        <v>706.26</v>
      </c>
      <c r="I301" s="18">
        <f>170.49</f>
        <v>170.49</v>
      </c>
      <c r="J301" s="18"/>
      <c r="K301" s="18"/>
      <c r="L301" s="19">
        <f t="shared" ref="L301:L307" si="14">SUM(F301:K301)</f>
        <v>876.75</v>
      </c>
      <c r="M301" s="8"/>
      <c r="N301" s="264"/>
    </row>
    <row r="302" spans="1:14" s="3" customFormat="1" ht="12.2" customHeight="1" x14ac:dyDescent="0.15">
      <c r="A302" s="1" t="s">
        <v>443</v>
      </c>
      <c r="B302" s="2" t="s">
        <v>358</v>
      </c>
      <c r="C302" s="2" t="s">
        <v>295</v>
      </c>
      <c r="D302" s="2" t="s">
        <v>431</v>
      </c>
      <c r="E302" s="6">
        <v>2200</v>
      </c>
      <c r="F302" s="18">
        <f>7268.21</f>
        <v>7268.21</v>
      </c>
      <c r="G302" s="18">
        <f>1606.48</f>
        <v>1606.48</v>
      </c>
      <c r="H302" s="18">
        <f>9127.72</f>
        <v>9127.7199999999993</v>
      </c>
      <c r="I302" s="18">
        <f>2341.32</f>
        <v>2341.3200000000002</v>
      </c>
      <c r="J302" s="18"/>
      <c r="K302" s="18"/>
      <c r="L302" s="19">
        <f t="shared" si="14"/>
        <v>20343.73</v>
      </c>
      <c r="M302" s="8"/>
      <c r="N302" s="264"/>
    </row>
    <row r="303" spans="1:14" s="3" customFormat="1" ht="12.2" customHeight="1" x14ac:dyDescent="0.15">
      <c r="A303" s="1" t="s">
        <v>444</v>
      </c>
      <c r="B303" s="2" t="s">
        <v>358</v>
      </c>
      <c r="C303" s="2" t="s">
        <v>296</v>
      </c>
      <c r="D303" s="2" t="s">
        <v>431</v>
      </c>
      <c r="E303" s="6">
        <v>2300</v>
      </c>
      <c r="F303" s="18"/>
      <c r="G303" s="18"/>
      <c r="H303" s="18">
        <f>28869.49</f>
        <v>28869.49</v>
      </c>
      <c r="I303" s="18">
        <f>57047.47</f>
        <v>57047.47</v>
      </c>
      <c r="J303" s="18">
        <f>51701.99</f>
        <v>51701.99</v>
      </c>
      <c r="K303" s="18"/>
      <c r="L303" s="19">
        <f t="shared" si="14"/>
        <v>137618.95000000001</v>
      </c>
      <c r="M303" s="8"/>
      <c r="N303" s="264"/>
    </row>
    <row r="304" spans="1:14" s="3" customFormat="1" ht="12.2" customHeight="1" x14ac:dyDescent="0.15">
      <c r="A304" s="1" t="s">
        <v>445</v>
      </c>
      <c r="B304" s="2" t="s">
        <v>358</v>
      </c>
      <c r="C304" s="2" t="s">
        <v>297</v>
      </c>
      <c r="D304" s="2" t="s">
        <v>431</v>
      </c>
      <c r="E304" s="6">
        <v>2400</v>
      </c>
      <c r="F304" s="18"/>
      <c r="G304" s="18"/>
      <c r="H304" s="18">
        <f>1176</f>
        <v>1176</v>
      </c>
      <c r="I304" s="18"/>
      <c r="J304" s="18"/>
      <c r="K304" s="18"/>
      <c r="L304" s="19">
        <f t="shared" si="14"/>
        <v>1176</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f>3918</f>
        <v>3918</v>
      </c>
      <c r="I306" s="18"/>
      <c r="J306" s="18"/>
      <c r="K306" s="18"/>
      <c r="L306" s="19">
        <f t="shared" si="14"/>
        <v>3918</v>
      </c>
      <c r="M306" s="8"/>
      <c r="N306" s="264"/>
    </row>
    <row r="307" spans="1:14" s="3" customFormat="1" ht="12.2" customHeight="1" x14ac:dyDescent="0.15">
      <c r="A307" s="1" t="s">
        <v>448</v>
      </c>
      <c r="B307" s="2" t="s">
        <v>358</v>
      </c>
      <c r="C307" s="2" t="s">
        <v>300</v>
      </c>
      <c r="D307" s="2" t="s">
        <v>431</v>
      </c>
      <c r="E307" s="6">
        <v>2700</v>
      </c>
      <c r="F307" s="18">
        <f>1100</f>
        <v>1100</v>
      </c>
      <c r="G307" s="18"/>
      <c r="H307" s="18">
        <f>11797.17</f>
        <v>11797.17</v>
      </c>
      <c r="I307" s="18">
        <f>2213.09</f>
        <v>2213.09</v>
      </c>
      <c r="J307" s="18"/>
      <c r="K307" s="18">
        <f>150</f>
        <v>150</v>
      </c>
      <c r="L307" s="19">
        <f t="shared" si="14"/>
        <v>15260.26</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95514.1</v>
      </c>
      <c r="G310" s="42">
        <f t="shared" si="15"/>
        <v>36077.25</v>
      </c>
      <c r="H310" s="42">
        <f t="shared" si="15"/>
        <v>101370.6</v>
      </c>
      <c r="I310" s="42">
        <f t="shared" si="15"/>
        <v>68852.11</v>
      </c>
      <c r="J310" s="42">
        <f t="shared" si="15"/>
        <v>62976.479999999996</v>
      </c>
      <c r="K310" s="42">
        <f t="shared" si="15"/>
        <v>150</v>
      </c>
      <c r="L310" s="41">
        <f t="shared" si="15"/>
        <v>364940.54000000004</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f>58711.68+5856.77</f>
        <v>64568.45</v>
      </c>
      <c r="G315" s="18">
        <f>16704.59</f>
        <v>16704.59</v>
      </c>
      <c r="H315" s="18"/>
      <c r="I315" s="18">
        <f>90.96+5422.81</f>
        <v>5513.77</v>
      </c>
      <c r="J315" s="18">
        <f>12277.55</f>
        <v>12277.55</v>
      </c>
      <c r="K315" s="18"/>
      <c r="L315" s="19">
        <f>SUM(F315:K315)</f>
        <v>99064.36</v>
      </c>
      <c r="M315" s="8"/>
      <c r="N315" s="264"/>
    </row>
    <row r="316" spans="1:14" s="3" customFormat="1" ht="12.2" customHeight="1" x14ac:dyDescent="0.15">
      <c r="A316" s="1" t="s">
        <v>439</v>
      </c>
      <c r="B316" s="2" t="s">
        <v>359</v>
      </c>
      <c r="C316" s="2" t="s">
        <v>291</v>
      </c>
      <c r="D316" s="2" t="s">
        <v>431</v>
      </c>
      <c r="E316" s="6">
        <v>1200</v>
      </c>
      <c r="F316" s="18">
        <f>96850.88</f>
        <v>96850.880000000005</v>
      </c>
      <c r="G316" s="18">
        <f>40626.26</f>
        <v>40626.26</v>
      </c>
      <c r="H316" s="18">
        <f>15176.21</f>
        <v>15176.21</v>
      </c>
      <c r="I316" s="18">
        <f>2921.17</f>
        <v>2921.17</v>
      </c>
      <c r="J316" s="18">
        <f>211.19</f>
        <v>211.19</v>
      </c>
      <c r="K316" s="18"/>
      <c r="L316" s="19">
        <f>SUM(F316:K316)</f>
        <v>155785.71000000002</v>
      </c>
      <c r="M316" s="8"/>
      <c r="N316" s="264"/>
    </row>
    <row r="317" spans="1:14" s="3" customFormat="1" ht="12.2" customHeight="1" x14ac:dyDescent="0.15">
      <c r="A317" s="1" t="s">
        <v>440</v>
      </c>
      <c r="B317" s="2" t="s">
        <v>359</v>
      </c>
      <c r="C317" s="2" t="s">
        <v>292</v>
      </c>
      <c r="D317" s="2" t="s">
        <v>431</v>
      </c>
      <c r="E317" s="6">
        <v>1300</v>
      </c>
      <c r="F317" s="18">
        <f>2227.5</f>
        <v>2227.5</v>
      </c>
      <c r="G317" s="18">
        <f>357.5</f>
        <v>357.5</v>
      </c>
      <c r="H317" s="18">
        <f>5675.62</f>
        <v>5675.62</v>
      </c>
      <c r="I317" s="18">
        <f>66989.59</f>
        <v>66989.59</v>
      </c>
      <c r="J317" s="18">
        <f>44597.93</f>
        <v>44597.93</v>
      </c>
      <c r="K317" s="18">
        <f>3641.34</f>
        <v>3641.34</v>
      </c>
      <c r="L317" s="19">
        <f>SUM(F317:K317)</f>
        <v>123489.47999999998</v>
      </c>
      <c r="M317" s="8"/>
      <c r="N317" s="264"/>
    </row>
    <row r="318" spans="1:14" s="3" customFormat="1" ht="12.2" customHeight="1" x14ac:dyDescent="0.15">
      <c r="A318" s="1" t="s">
        <v>441</v>
      </c>
      <c r="B318" s="2" t="s">
        <v>359</v>
      </c>
      <c r="C318" s="2" t="s">
        <v>293</v>
      </c>
      <c r="D318" s="2" t="s">
        <v>431</v>
      </c>
      <c r="E318" s="6">
        <v>1400</v>
      </c>
      <c r="F318" s="18"/>
      <c r="G318" s="18"/>
      <c r="H318" s="18">
        <f>90086.19</f>
        <v>90086.19</v>
      </c>
      <c r="I318" s="18"/>
      <c r="J318" s="18">
        <f>799.05</f>
        <v>799.05</v>
      </c>
      <c r="K318" s="18"/>
      <c r="L318" s="19">
        <f>SUM(F318:K318)</f>
        <v>90885.24</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f>5000+832.37</f>
        <v>5832.37</v>
      </c>
      <c r="I320" s="18">
        <f>200.94</f>
        <v>200.94</v>
      </c>
      <c r="J320" s="18"/>
      <c r="K320" s="18"/>
      <c r="L320" s="19">
        <f t="shared" ref="L320:L326" si="16">SUM(F320:K320)</f>
        <v>6033.3099999999995</v>
      </c>
      <c r="M320" s="8"/>
      <c r="N320" s="264"/>
    </row>
    <row r="321" spans="1:14" s="3" customFormat="1" ht="12.2" customHeight="1" x14ac:dyDescent="0.15">
      <c r="A321" s="1" t="s">
        <v>443</v>
      </c>
      <c r="B321" s="2" t="s">
        <v>359</v>
      </c>
      <c r="C321" s="2" t="s">
        <v>295</v>
      </c>
      <c r="D321" s="2" t="s">
        <v>431</v>
      </c>
      <c r="E321" s="6">
        <v>2200</v>
      </c>
      <c r="F321" s="18">
        <f>8566.11</f>
        <v>8566.11</v>
      </c>
      <c r="G321" s="18">
        <f>1893.35</f>
        <v>1893.35</v>
      </c>
      <c r="H321" s="18">
        <f>99+10757.67</f>
        <v>10856.67</v>
      </c>
      <c r="I321" s="18">
        <f>2759.41</f>
        <v>2759.41</v>
      </c>
      <c r="J321" s="18"/>
      <c r="K321" s="18"/>
      <c r="L321" s="19">
        <f t="shared" si="16"/>
        <v>24075.54</v>
      </c>
      <c r="M321" s="8"/>
      <c r="N321" s="264"/>
    </row>
    <row r="322" spans="1:14" s="3" customFormat="1" ht="12.2" customHeight="1" x14ac:dyDescent="0.15">
      <c r="A322" s="1" t="s">
        <v>444</v>
      </c>
      <c r="B322" s="2" t="s">
        <v>359</v>
      </c>
      <c r="C322" s="2" t="s">
        <v>296</v>
      </c>
      <c r="D322" s="2" t="s">
        <v>431</v>
      </c>
      <c r="E322" s="6">
        <v>2300</v>
      </c>
      <c r="F322" s="18"/>
      <c r="G322" s="18"/>
      <c r="H322" s="18">
        <f>34024.75</f>
        <v>34024.75</v>
      </c>
      <c r="I322" s="18">
        <f>67234.52</f>
        <v>67234.52</v>
      </c>
      <c r="J322" s="18">
        <f>60934.49</f>
        <v>60934.49</v>
      </c>
      <c r="K322" s="18"/>
      <c r="L322" s="19">
        <f t="shared" si="16"/>
        <v>162193.76</v>
      </c>
      <c r="M322" s="8"/>
      <c r="N322" s="264"/>
    </row>
    <row r="323" spans="1:14" s="3" customFormat="1" ht="12.2" customHeight="1" x14ac:dyDescent="0.15">
      <c r="A323" s="1" t="s">
        <v>445</v>
      </c>
      <c r="B323" s="2" t="s">
        <v>359</v>
      </c>
      <c r="C323" s="2" t="s">
        <v>297</v>
      </c>
      <c r="D323" s="2" t="s">
        <v>431</v>
      </c>
      <c r="E323" s="6">
        <v>2400</v>
      </c>
      <c r="F323" s="18"/>
      <c r="G323" s="18"/>
      <c r="H323" s="18">
        <f>1386</f>
        <v>1386</v>
      </c>
      <c r="I323" s="18"/>
      <c r="J323" s="18"/>
      <c r="K323" s="18"/>
      <c r="L323" s="19">
        <f t="shared" si="16"/>
        <v>1386</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f>19124</f>
        <v>19124</v>
      </c>
      <c r="I325" s="18"/>
      <c r="J325" s="18"/>
      <c r="K325" s="18"/>
      <c r="L325" s="19">
        <f t="shared" si="16"/>
        <v>19124</v>
      </c>
      <c r="M325" s="8"/>
      <c r="N325" s="264"/>
    </row>
    <row r="326" spans="1:14" s="3" customFormat="1" ht="12.2" customHeight="1" x14ac:dyDescent="0.15">
      <c r="A326" s="1" t="s">
        <v>448</v>
      </c>
      <c r="B326" s="2" t="s">
        <v>359</v>
      </c>
      <c r="C326" s="2" t="s">
        <v>300</v>
      </c>
      <c r="D326" s="2" t="s">
        <v>431</v>
      </c>
      <c r="E326" s="6">
        <v>2700</v>
      </c>
      <c r="F326" s="18"/>
      <c r="G326" s="18"/>
      <c r="H326" s="18">
        <f>3250.46+13903.81</f>
        <v>17154.27</v>
      </c>
      <c r="I326" s="18">
        <f>2519.56</f>
        <v>2519.56</v>
      </c>
      <c r="J326" s="18"/>
      <c r="K326" s="18"/>
      <c r="L326" s="19">
        <f t="shared" si="16"/>
        <v>19673.830000000002</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172212.94</v>
      </c>
      <c r="G329" s="42">
        <f t="shared" si="17"/>
        <v>59581.700000000004</v>
      </c>
      <c r="H329" s="42">
        <f t="shared" si="17"/>
        <v>199316.08</v>
      </c>
      <c r="I329" s="42">
        <f t="shared" si="17"/>
        <v>148138.96000000002</v>
      </c>
      <c r="J329" s="42">
        <f t="shared" si="17"/>
        <v>118820.20999999999</v>
      </c>
      <c r="K329" s="42">
        <f t="shared" si="17"/>
        <v>3641.34</v>
      </c>
      <c r="L329" s="41">
        <f t="shared" si="17"/>
        <v>701711.22999999986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581698.15999999992</v>
      </c>
      <c r="G339" s="41">
        <f t="shared" si="20"/>
        <v>175258.43000000002</v>
      </c>
      <c r="H339" s="41">
        <f t="shared" si="20"/>
        <v>451353.5</v>
      </c>
      <c r="I339" s="41">
        <f t="shared" si="20"/>
        <v>326587.08</v>
      </c>
      <c r="J339" s="41">
        <f t="shared" si="20"/>
        <v>269513.92</v>
      </c>
      <c r="K339" s="41">
        <f t="shared" si="20"/>
        <v>3791.34</v>
      </c>
      <c r="L339" s="41">
        <f t="shared" si="20"/>
        <v>1808202.4299999997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581698.15999999992</v>
      </c>
      <c r="G353" s="41">
        <f>G339</f>
        <v>175258.43000000002</v>
      </c>
      <c r="H353" s="41">
        <f>H339</f>
        <v>451353.5</v>
      </c>
      <c r="I353" s="41">
        <f>I339</f>
        <v>326587.08</v>
      </c>
      <c r="J353" s="41">
        <f>J339</f>
        <v>269513.92</v>
      </c>
      <c r="K353" s="47">
        <f>K339+K352</f>
        <v>3791.34</v>
      </c>
      <c r="L353" s="41">
        <f>L339+L352</f>
        <v>1808202.4299999997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f>77478.3+9598.84</f>
        <v>87077.14</v>
      </c>
      <c r="G359" s="18">
        <f>15371.73</f>
        <v>15371.73</v>
      </c>
      <c r="H359" s="18">
        <v>525</v>
      </c>
      <c r="I359" s="18">
        <f>35812.13</f>
        <v>35812.129999999997</v>
      </c>
      <c r="J359" s="18"/>
      <c r="K359" s="18">
        <f>996.72+8.32</f>
        <v>1005.0400000000001</v>
      </c>
      <c r="L359" s="13">
        <f>SUM(F359:K359)</f>
        <v>139791.04000000001</v>
      </c>
      <c r="M359" s="8"/>
      <c r="N359" s="264"/>
    </row>
    <row r="360" spans="1:22" s="3" customFormat="1" ht="12.2" customHeight="1" x14ac:dyDescent="0.15">
      <c r="A360" s="1" t="s">
        <v>542</v>
      </c>
      <c r="B360" s="2" t="s">
        <v>366</v>
      </c>
      <c r="C360" s="6">
        <v>2</v>
      </c>
      <c r="D360" s="2" t="s">
        <v>431</v>
      </c>
      <c r="E360" s="6"/>
      <c r="F360" s="18">
        <f>32371.4+8227.58</f>
        <v>40598.980000000003</v>
      </c>
      <c r="G360" s="18">
        <f>13175.77</f>
        <v>13175.77</v>
      </c>
      <c r="H360" s="18">
        <v>450</v>
      </c>
      <c r="I360" s="18">
        <f>30696.11</f>
        <v>30696.11</v>
      </c>
      <c r="J360" s="18"/>
      <c r="K360" s="18">
        <f>305.06</f>
        <v>305.06</v>
      </c>
      <c r="L360" s="19">
        <f>SUM(F360:K360)</f>
        <v>85225.919999999998</v>
      </c>
      <c r="M360" s="8"/>
      <c r="N360" s="264"/>
    </row>
    <row r="361" spans="1:22" s="3" customFormat="1" ht="12.2" customHeight="1" x14ac:dyDescent="0.15">
      <c r="A361" s="3" t="s">
        <v>543</v>
      </c>
      <c r="B361" s="2" t="s">
        <v>366</v>
      </c>
      <c r="C361" s="6">
        <v>3</v>
      </c>
      <c r="D361" s="2" t="s">
        <v>431</v>
      </c>
      <c r="E361" s="6"/>
      <c r="F361" s="18">
        <f>98804.32+9598.84</f>
        <v>108403.16</v>
      </c>
      <c r="G361" s="18">
        <f>15371.73</f>
        <v>15371.73</v>
      </c>
      <c r="H361" s="18">
        <v>525</v>
      </c>
      <c r="I361" s="18">
        <f>35812.13</f>
        <v>35812.129999999997</v>
      </c>
      <c r="J361" s="18"/>
      <c r="K361" s="18">
        <f>984.66</f>
        <v>984.66</v>
      </c>
      <c r="L361" s="19">
        <f>SUM(F361:K361)</f>
        <v>161096.68</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236079.28</v>
      </c>
      <c r="G363" s="47">
        <f t="shared" si="22"/>
        <v>43919.229999999996</v>
      </c>
      <c r="H363" s="47">
        <f t="shared" si="22"/>
        <v>1500</v>
      </c>
      <c r="I363" s="47">
        <f t="shared" si="22"/>
        <v>102320.37</v>
      </c>
      <c r="J363" s="47">
        <f t="shared" si="22"/>
        <v>0</v>
      </c>
      <c r="K363" s="47">
        <f t="shared" si="22"/>
        <v>2294.7600000000002</v>
      </c>
      <c r="L363" s="47">
        <f t="shared" si="22"/>
        <v>386113.64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175.49+29099.85</f>
        <v>29275.34</v>
      </c>
      <c r="G368" s="18">
        <f>142.5+24942.74</f>
        <v>25085.24</v>
      </c>
      <c r="H368" s="18">
        <f>4129.08+29099.85</f>
        <v>33228.93</v>
      </c>
      <c r="I368" s="56">
        <f>SUM(F368:H368)</f>
        <v>87589.510000000009</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100.54+2552.94</f>
        <v>2653.48</v>
      </c>
      <c r="G369" s="63">
        <f>153.59+2188.25</f>
        <v>2341.84</v>
      </c>
      <c r="H369" s="63">
        <f>1011.48+6171.12+2552.94</f>
        <v>9735.5400000000009</v>
      </c>
      <c r="I369" s="56">
        <f>SUM(F369:H369)</f>
        <v>14730.86</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31928.82</v>
      </c>
      <c r="G370" s="47">
        <f>SUM(G368:G369)</f>
        <v>27427.08</v>
      </c>
      <c r="H370" s="47">
        <f>SUM(H368:H369)</f>
        <v>42964.47</v>
      </c>
      <c r="I370" s="47">
        <f>SUM(I368:I369)</f>
        <v>102320.37000000001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400000</v>
      </c>
      <c r="H397" s="18">
        <v>28512.39</v>
      </c>
      <c r="I397" s="18"/>
      <c r="J397" s="24" t="s">
        <v>288</v>
      </c>
      <c r="K397" s="24" t="s">
        <v>288</v>
      </c>
      <c r="L397" s="56">
        <f t="shared" si="26"/>
        <v>428512.39</v>
      </c>
      <c r="M397" s="8"/>
      <c r="N397" s="264"/>
    </row>
    <row r="398" spans="1:14" s="3" customFormat="1" ht="12.2" customHeight="1" x14ac:dyDescent="0.15">
      <c r="A398" s="79" t="s">
        <v>515</v>
      </c>
      <c r="B398" s="2" t="s">
        <v>381</v>
      </c>
      <c r="C398" s="6">
        <v>10</v>
      </c>
      <c r="D398" s="2" t="s">
        <v>432</v>
      </c>
      <c r="E398" s="6"/>
      <c r="F398" s="18"/>
      <c r="G398" s="18">
        <v>200000</v>
      </c>
      <c r="H398" s="18">
        <v>14256.19</v>
      </c>
      <c r="I398" s="18"/>
      <c r="J398" s="24" t="s">
        <v>288</v>
      </c>
      <c r="K398" s="24" t="s">
        <v>288</v>
      </c>
      <c r="L398" s="56">
        <f t="shared" si="26"/>
        <v>214256.19</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12860.75</v>
      </c>
      <c r="I401" s="18"/>
      <c r="J401" s="24" t="s">
        <v>288</v>
      </c>
      <c r="K401" s="24" t="s">
        <v>288</v>
      </c>
      <c r="L401" s="56">
        <f t="shared" si="26"/>
        <v>12860.75</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600000</v>
      </c>
      <c r="H402" s="47">
        <f>SUM(H396:H401)</f>
        <v>55629.33</v>
      </c>
      <c r="I402" s="47">
        <f>SUM(I396:I401)</f>
        <v>0</v>
      </c>
      <c r="J402" s="45" t="s">
        <v>288</v>
      </c>
      <c r="K402" s="45" t="s">
        <v>288</v>
      </c>
      <c r="L402" s="47">
        <f>SUM(L396:L401)</f>
        <v>655629.33000000007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600000</v>
      </c>
      <c r="H409" s="47">
        <f>H394+H402+H408</f>
        <v>55629.33</v>
      </c>
      <c r="I409" s="47">
        <f>I394+I402+I408</f>
        <v>0</v>
      </c>
      <c r="J409" s="24" t="s">
        <v>288</v>
      </c>
      <c r="K409" s="24" t="s">
        <v>288</v>
      </c>
      <c r="L409" s="47">
        <f>L394+L402+L408</f>
        <v>655629.33000000007</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v>195800</v>
      </c>
      <c r="I423" s="18"/>
      <c r="J423" s="18"/>
      <c r="K423" s="18"/>
      <c r="L423" s="56">
        <f t="shared" si="29"/>
        <v>195800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v>65000</v>
      </c>
      <c r="I427" s="18"/>
      <c r="J427" s="18"/>
      <c r="K427" s="18"/>
      <c r="L427" s="56">
        <f t="shared" si="29"/>
        <v>65000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260800</v>
      </c>
      <c r="I428" s="47">
        <f t="shared" si="30"/>
        <v>0</v>
      </c>
      <c r="J428" s="47">
        <f t="shared" si="30"/>
        <v>0</v>
      </c>
      <c r="K428" s="47">
        <f t="shared" si="30"/>
        <v>0</v>
      </c>
      <c r="L428" s="47">
        <f t="shared" si="30"/>
        <v>260800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260800</v>
      </c>
      <c r="I435" s="47">
        <f t="shared" si="32"/>
        <v>0</v>
      </c>
      <c r="J435" s="47">
        <f t="shared" si="32"/>
        <v>0</v>
      </c>
      <c r="K435" s="47">
        <f t="shared" si="32"/>
        <v>0</v>
      </c>
      <c r="L435" s="47">
        <f t="shared" si="32"/>
        <v>260800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v>767970.24</v>
      </c>
      <c r="H443" s="18"/>
      <c r="I443" s="56">
        <f t="shared" si="33"/>
        <v>767970.24</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767970.24</v>
      </c>
      <c r="H447" s="13">
        <f>SUM(H440:H446)</f>
        <v>0</v>
      </c>
      <c r="I447" s="13">
        <f>SUM(I440:I446)</f>
        <v>767970.24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v>227713.4</v>
      </c>
      <c r="H457" s="18"/>
      <c r="I457" s="56">
        <f t="shared" si="34"/>
        <v>227713.4</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v>522153.79</v>
      </c>
      <c r="H458" s="18"/>
      <c r="I458" s="56">
        <f t="shared" si="34"/>
        <v>522153.79</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v>18103.05</v>
      </c>
      <c r="H459" s="18"/>
      <c r="I459" s="56">
        <f t="shared" si="34"/>
        <v>18103.05</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767970.24</v>
      </c>
      <c r="H461" s="83">
        <f>SUM(H455:H460)</f>
        <v>0</v>
      </c>
      <c r="I461" s="83">
        <f>SUM(I455:I460)</f>
        <v>767970.24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767970.24</v>
      </c>
      <c r="H462" s="42">
        <f>H453+H461</f>
        <v>0</v>
      </c>
      <c r="I462" s="42">
        <f>I453+I461</f>
        <v>767970.24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1114617.69</v>
      </c>
      <c r="G466" s="18">
        <v>31179.16</v>
      </c>
      <c r="H466" s="18">
        <f>342538.6-1000</f>
        <v>341538.6</v>
      </c>
      <c r="I466" s="18"/>
      <c r="J466" s="18">
        <f>5040526.25-5040526.25+191167</f>
        <v>191167</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41331682.770000003</v>
      </c>
      <c r="G469" s="18">
        <v>354934.48</v>
      </c>
      <c r="H469" s="18">
        <f>1789808.45</f>
        <v>1789808.45</v>
      </c>
      <c r="I469" s="18"/>
      <c r="J469" s="18">
        <f>55629.33+600000</f>
        <v>655629.32999999996</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f>181973.91</f>
        <v>181973.91</v>
      </c>
      <c r="K470" s="24" t="s">
        <v>288</v>
      </c>
      <c r="L470" s="24" t="s">
        <v>288</v>
      </c>
      <c r="N470" s="263"/>
    </row>
    <row r="471" spans="1:14" s="52" customFormat="1" ht="12.2" customHeight="1" x14ac:dyDescent="0.2">
      <c r="A471" s="92" t="s">
        <v>425</v>
      </c>
      <c r="B471" s="75">
        <v>19</v>
      </c>
      <c r="C471" s="80">
        <v>4</v>
      </c>
      <c r="D471" s="2" t="s">
        <v>432</v>
      </c>
      <c r="E471" s="80"/>
      <c r="F471" s="53">
        <f>SUM(F469:F470)</f>
        <v>41331682.770000003</v>
      </c>
      <c r="G471" s="53">
        <f>SUM(G469:G470)</f>
        <v>354934.48</v>
      </c>
      <c r="H471" s="53">
        <f>SUM(H469:H470)</f>
        <v>1789808.45</v>
      </c>
      <c r="I471" s="53">
        <f>SUM(I469:I470)</f>
        <v>0</v>
      </c>
      <c r="J471" s="53">
        <f>SUM(J469:J470)</f>
        <v>837603.24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39857832.270000003</v>
      </c>
      <c r="G473" s="18">
        <v>386113.64</v>
      </c>
      <c r="H473" s="18">
        <v>1808202.43</v>
      </c>
      <c r="I473" s="18"/>
      <c r="J473" s="18">
        <v>260800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39857832.270000003</v>
      </c>
      <c r="G475" s="53">
        <f>SUM(G473:G474)</f>
        <v>386113.64</v>
      </c>
      <c r="H475" s="53">
        <f>SUM(H473:H474)</f>
        <v>1808202.43</v>
      </c>
      <c r="I475" s="53">
        <f>SUM(I473:I474)</f>
        <v>0</v>
      </c>
      <c r="J475" s="53">
        <f>SUM(J473:J474)</f>
        <v>260800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2588468.1899999976</v>
      </c>
      <c r="G477" s="53">
        <f>(G466+G471)- G475</f>
        <v>0</v>
      </c>
      <c r="H477" s="53">
        <f>(H466+H471)- H475</f>
        <v>323144.61999999988</v>
      </c>
      <c r="I477" s="53">
        <f>(I466+I471)- I475</f>
        <v>0</v>
      </c>
      <c r="J477" s="53">
        <f>(J466+J471)- J475</f>
        <v>767970.24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t="s">
        <v>1672</v>
      </c>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t="s">
        <v>1674</v>
      </c>
      <c r="B485" s="112"/>
      <c r="C485" s="112"/>
      <c r="D485" s="112"/>
      <c r="E485" s="112"/>
      <c r="F485" s="112"/>
      <c r="G485" s="112"/>
      <c r="H485" s="112"/>
      <c r="I485" s="112" t="s">
        <v>474</v>
      </c>
      <c r="J485" s="112"/>
      <c r="K485" s="95"/>
      <c r="L485" s="95"/>
      <c r="N485" s="263"/>
    </row>
    <row r="486" spans="1:14" s="52" customFormat="1" ht="12.2" customHeight="1" x14ac:dyDescent="0.2">
      <c r="A486" s="174" t="s">
        <v>1673</v>
      </c>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123530</v>
      </c>
      <c r="G494" s="18">
        <v>1404300</v>
      </c>
      <c r="H494" s="18">
        <v>2553500</v>
      </c>
      <c r="I494" s="18">
        <v>4393500</v>
      </c>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13795.46</v>
      </c>
      <c r="G496" s="18">
        <v>560000</v>
      </c>
      <c r="H496" s="18">
        <v>2040000</v>
      </c>
      <c r="I496" s="18">
        <v>1755000</v>
      </c>
      <c r="J496" s="18"/>
      <c r="K496" s="53">
        <f>SUM(F496:J496)</f>
        <v>4368795.46</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13795.46</v>
      </c>
      <c r="G498" s="18">
        <v>140000</v>
      </c>
      <c r="H498" s="18">
        <v>255000</v>
      </c>
      <c r="I498" s="18">
        <v>220000</v>
      </c>
      <c r="J498" s="18"/>
      <c r="K498" s="53">
        <f t="shared" si="35"/>
        <v>628795.46</v>
      </c>
      <c r="L498" s="24" t="s">
        <v>288</v>
      </c>
      <c r="N498" s="263"/>
    </row>
    <row r="499" spans="1:14" s="52" customFormat="1" ht="12.2" customHeight="1" x14ac:dyDescent="0.2">
      <c r="A499" s="200" t="s">
        <v>622</v>
      </c>
      <c r="B499" s="201">
        <v>20</v>
      </c>
      <c r="C499" s="202">
        <v>9</v>
      </c>
      <c r="D499" s="203" t="s">
        <v>432</v>
      </c>
      <c r="E499" s="202"/>
      <c r="F499" s="204"/>
      <c r="G499" s="204">
        <v>420000</v>
      </c>
      <c r="H499" s="204">
        <v>1785000</v>
      </c>
      <c r="I499" s="204">
        <v>1535000</v>
      </c>
      <c r="J499" s="204"/>
      <c r="K499" s="205">
        <f t="shared" si="35"/>
        <v>3740000</v>
      </c>
      <c r="L499" s="206" t="s">
        <v>288</v>
      </c>
      <c r="N499" s="263"/>
    </row>
    <row r="500" spans="1:14" s="52" customFormat="1" ht="12.2" customHeight="1" thickBot="1" x14ac:dyDescent="0.25">
      <c r="A500" s="22" t="s">
        <v>623</v>
      </c>
      <c r="B500" s="75">
        <v>20</v>
      </c>
      <c r="C500" s="115">
        <v>10</v>
      </c>
      <c r="D500" s="2" t="s">
        <v>432</v>
      </c>
      <c r="E500" s="115"/>
      <c r="F500" s="18"/>
      <c r="G500" s="18">
        <v>33705</v>
      </c>
      <c r="H500" s="18">
        <v>429165</v>
      </c>
      <c r="I500" s="18">
        <v>205556.82</v>
      </c>
      <c r="J500" s="18"/>
      <c r="K500" s="53">
        <f t="shared" si="35"/>
        <v>668426.82000000007</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453705</v>
      </c>
      <c r="H501" s="42">
        <f>SUM(H499:H500)</f>
        <v>2214165</v>
      </c>
      <c r="I501" s="42">
        <f>SUM(I499:I500)</f>
        <v>1740556.82</v>
      </c>
      <c r="J501" s="42">
        <f>SUM(J499:J500)</f>
        <v>0</v>
      </c>
      <c r="K501" s="42">
        <f t="shared" si="35"/>
        <v>4408426.82</v>
      </c>
      <c r="L501" s="45" t="s">
        <v>288</v>
      </c>
      <c r="N501" s="263"/>
    </row>
    <row r="502" spans="1:14" s="52" customFormat="1" ht="12.2" customHeight="1" x14ac:dyDescent="0.2">
      <c r="A502" s="200" t="s">
        <v>651</v>
      </c>
      <c r="B502" s="201">
        <v>20</v>
      </c>
      <c r="C502" s="202">
        <v>12</v>
      </c>
      <c r="D502" s="203" t="s">
        <v>432</v>
      </c>
      <c r="E502" s="202"/>
      <c r="F502" s="204"/>
      <c r="G502" s="204">
        <v>140000</v>
      </c>
      <c r="H502" s="204">
        <v>255000</v>
      </c>
      <c r="I502" s="204">
        <v>220000</v>
      </c>
      <c r="J502" s="204"/>
      <c r="K502" s="205">
        <f t="shared" si="35"/>
        <v>615000</v>
      </c>
      <c r="L502" s="206" t="s">
        <v>288</v>
      </c>
      <c r="N502" s="263"/>
    </row>
    <row r="503" spans="1:14" s="52" customFormat="1" ht="12.2" customHeight="1" thickBot="1" x14ac:dyDescent="0.25">
      <c r="A503" s="22" t="s">
        <v>625</v>
      </c>
      <c r="B503" s="75">
        <v>20</v>
      </c>
      <c r="C503" s="115">
        <v>13</v>
      </c>
      <c r="D503" s="2" t="s">
        <v>432</v>
      </c>
      <c r="E503" s="115"/>
      <c r="F503" s="18"/>
      <c r="G503" s="18">
        <v>18725</v>
      </c>
      <c r="H503" s="18">
        <v>84532.5</v>
      </c>
      <c r="I503" s="18">
        <v>58506.26</v>
      </c>
      <c r="J503" s="18"/>
      <c r="K503" s="53">
        <f t="shared" si="35"/>
        <v>161763.76</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158725</v>
      </c>
      <c r="H504" s="42">
        <f>SUM(H502:H503)</f>
        <v>339532.5</v>
      </c>
      <c r="I504" s="42">
        <f>SUM(I502:I503)</f>
        <v>278506.26</v>
      </c>
      <c r="J504" s="42">
        <f>SUM(J502:J503)</f>
        <v>0</v>
      </c>
      <c r="K504" s="42">
        <f t="shared" si="35"/>
        <v>776763.76</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1348494.37+281508.13</f>
        <v>1630002.5</v>
      </c>
      <c r="G522" s="18">
        <f>924909.25+55399.45</f>
        <v>980308.7</v>
      </c>
      <c r="H522" s="18">
        <f>195324.24+117765.36</f>
        <v>313089.59999999998</v>
      </c>
      <c r="I522" s="18">
        <f>19845.31+4196.51</f>
        <v>24041.82</v>
      </c>
      <c r="J522" s="18">
        <f>2293.29</f>
        <v>2293.29</v>
      </c>
      <c r="K522" s="18"/>
      <c r="L522" s="88">
        <f>SUM(F522:K522)</f>
        <v>2949735.91</v>
      </c>
      <c r="N522" s="263"/>
    </row>
    <row r="523" spans="1:14" s="52" customFormat="1" ht="12.2" customHeight="1" x14ac:dyDescent="0.2">
      <c r="A523" s="22" t="s">
        <v>634</v>
      </c>
      <c r="B523" s="105">
        <v>21</v>
      </c>
      <c r="C523" s="115">
        <v>2</v>
      </c>
      <c r="D523" s="2" t="s">
        <v>432</v>
      </c>
      <c r="E523" s="115"/>
      <c r="F523" s="18">
        <f>645707.49+191467.85</f>
        <v>837175.34</v>
      </c>
      <c r="G523" s="18">
        <f>539726.72+35701.87</f>
        <v>575428.59</v>
      </c>
      <c r="H523" s="18">
        <f>23950.49+75893.23</f>
        <v>99843.72</v>
      </c>
      <c r="I523" s="18">
        <f>1996.36+2820.14</f>
        <v>4816.5</v>
      </c>
      <c r="J523" s="18">
        <f>1560.61</f>
        <v>1560.61</v>
      </c>
      <c r="K523" s="18"/>
      <c r="L523" s="88">
        <f>SUM(F523:K523)</f>
        <v>1518824.76</v>
      </c>
      <c r="N523" s="263"/>
    </row>
    <row r="524" spans="1:14" s="52" customFormat="1" ht="12.2" customHeight="1" thickBot="1" x14ac:dyDescent="0.25">
      <c r="A524" s="22" t="s">
        <v>635</v>
      </c>
      <c r="B524" s="105">
        <v>21</v>
      </c>
      <c r="C524" s="115">
        <v>3</v>
      </c>
      <c r="D524" s="2" t="s">
        <v>432</v>
      </c>
      <c r="E524" s="115"/>
      <c r="F524" s="18">
        <f>679029.93+288877.97</f>
        <v>967907.9</v>
      </c>
      <c r="G524" s="18">
        <f>431592.91+32008.57</f>
        <v>463601.48</v>
      </c>
      <c r="H524" s="18">
        <f>651694.97+68042.21</f>
        <v>719737.17999999993</v>
      </c>
      <c r="I524" s="18">
        <f>827.13+3167.25</f>
        <v>3994.38</v>
      </c>
      <c r="J524" s="18">
        <f>1855.8</f>
        <v>1855.8</v>
      </c>
      <c r="K524" s="18"/>
      <c r="L524" s="88">
        <f>SUM(F524:K524)</f>
        <v>2157096.7399999993</v>
      </c>
      <c r="N524" s="263"/>
    </row>
    <row r="525" spans="1:14" s="52" customFormat="1" ht="12.2" customHeight="1" thickTop="1" x14ac:dyDescent="0.2">
      <c r="A525" s="139" t="s">
        <v>63</v>
      </c>
      <c r="B525" s="107">
        <v>21</v>
      </c>
      <c r="C525" s="195">
        <v>4</v>
      </c>
      <c r="D525" s="196" t="s">
        <v>432</v>
      </c>
      <c r="E525" s="195"/>
      <c r="F525" s="108">
        <f>SUM(F522:F524)</f>
        <v>3435085.7399999998</v>
      </c>
      <c r="G525" s="108">
        <f t="shared" ref="G525:L525" si="36">SUM(G522:G524)</f>
        <v>2019338.77</v>
      </c>
      <c r="H525" s="108">
        <f t="shared" si="36"/>
        <v>1132670.5</v>
      </c>
      <c r="I525" s="108">
        <f t="shared" si="36"/>
        <v>32852.699999999997</v>
      </c>
      <c r="J525" s="108">
        <f t="shared" si="36"/>
        <v>5709.7</v>
      </c>
      <c r="K525" s="108">
        <f t="shared" si="36"/>
        <v>0</v>
      </c>
      <c r="L525" s="89">
        <f t="shared" si="36"/>
        <v>6625657.4099999992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455161.42+627309.24</f>
        <v>1082470.6599999999</v>
      </c>
      <c r="G527" s="18">
        <f>104835.61</f>
        <v>104835.61</v>
      </c>
      <c r="H527" s="18">
        <f>35151.11+65718.11</f>
        <v>100869.22</v>
      </c>
      <c r="I527" s="18">
        <f>3604.34+1698.44</f>
        <v>5302.7800000000007</v>
      </c>
      <c r="J527" s="18">
        <f>563.45+1989.02</f>
        <v>2552.4700000000003</v>
      </c>
      <c r="K527" s="18"/>
      <c r="L527" s="88">
        <f>SUM(F527:K527)</f>
        <v>1296030.74</v>
      </c>
      <c r="M527" s="8"/>
      <c r="N527" s="264"/>
    </row>
    <row r="528" spans="1:14" s="3" customFormat="1" ht="12.2" customHeight="1" x14ac:dyDescent="0.15">
      <c r="A528" s="22" t="s">
        <v>634</v>
      </c>
      <c r="B528" s="105">
        <v>21</v>
      </c>
      <c r="C528" s="115">
        <v>6</v>
      </c>
      <c r="D528" s="2" t="s">
        <v>432</v>
      </c>
      <c r="E528" s="115"/>
      <c r="F528" s="18">
        <f>309064.16+195020.86</f>
        <v>504085.01999999996</v>
      </c>
      <c r="G528" s="18">
        <f>107191.47</f>
        <v>107191.47</v>
      </c>
      <c r="H528" s="18">
        <f>8042.7+50167.99</f>
        <v>58210.689999999995</v>
      </c>
      <c r="I528" s="18">
        <f>2526.4+1154.67</f>
        <v>3681.07</v>
      </c>
      <c r="J528" s="18">
        <f>229.5</f>
        <v>229.5</v>
      </c>
      <c r="K528" s="18"/>
      <c r="L528" s="88">
        <f>SUM(F528:K528)</f>
        <v>673397.74999999988</v>
      </c>
      <c r="M528" s="8"/>
      <c r="N528" s="264"/>
    </row>
    <row r="529" spans="1:14" s="3" customFormat="1" ht="12.2" customHeight="1" thickBot="1" x14ac:dyDescent="0.2">
      <c r="A529" s="22" t="s">
        <v>635</v>
      </c>
      <c r="B529" s="118">
        <v>21</v>
      </c>
      <c r="C529" s="118">
        <v>7</v>
      </c>
      <c r="D529" s="2" t="s">
        <v>432</v>
      </c>
      <c r="E529" s="118"/>
      <c r="F529" s="18">
        <f>520564.71+117014</f>
        <v>637578.71</v>
      </c>
      <c r="G529" s="18">
        <f>204252.76</f>
        <v>204252.76</v>
      </c>
      <c r="H529" s="18">
        <f>7021.68+38650.14</f>
        <v>45671.82</v>
      </c>
      <c r="I529" s="18">
        <f>10015.75+512.71</f>
        <v>10528.46</v>
      </c>
      <c r="J529" s="18">
        <f>331.5</f>
        <v>331.5</v>
      </c>
      <c r="K529" s="18">
        <f>471.24</f>
        <v>471.24</v>
      </c>
      <c r="L529" s="88">
        <f>SUM(F529:K529)</f>
        <v>898834.48999999987</v>
      </c>
      <c r="M529" s="8"/>
      <c r="N529" s="264"/>
    </row>
    <row r="530" spans="1:14" s="3" customFormat="1" ht="12.2" customHeight="1" thickTop="1" x14ac:dyDescent="0.15">
      <c r="A530" s="139" t="s">
        <v>65</v>
      </c>
      <c r="B530" s="107">
        <v>21</v>
      </c>
      <c r="C530" s="107">
        <v>8</v>
      </c>
      <c r="D530" s="158" t="s">
        <v>432</v>
      </c>
      <c r="E530" s="107"/>
      <c r="F530" s="89">
        <f>SUM(F527:F529)</f>
        <v>2224134.3899999997</v>
      </c>
      <c r="G530" s="89">
        <f t="shared" ref="G530:L530" si="37">SUM(G527:G529)</f>
        <v>416279.84</v>
      </c>
      <c r="H530" s="89">
        <f t="shared" si="37"/>
        <v>204751.73</v>
      </c>
      <c r="I530" s="89">
        <f t="shared" si="37"/>
        <v>19512.309999999998</v>
      </c>
      <c r="J530" s="89">
        <f t="shared" si="37"/>
        <v>3113.4700000000003</v>
      </c>
      <c r="K530" s="89">
        <f t="shared" si="37"/>
        <v>471.24</v>
      </c>
      <c r="L530" s="89">
        <f t="shared" si="37"/>
        <v>2868262.9799999995</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208041.74</f>
        <v>208041.74</v>
      </c>
      <c r="G532" s="18">
        <f>14841.9</f>
        <v>14841.9</v>
      </c>
      <c r="H532" s="18">
        <f>1033.56</f>
        <v>1033.56</v>
      </c>
      <c r="I532" s="18">
        <f>1763.58</f>
        <v>1763.58</v>
      </c>
      <c r="J532" s="18"/>
      <c r="K532" s="18">
        <f>1507.34</f>
        <v>1507.34</v>
      </c>
      <c r="L532" s="88">
        <f>SUM(F532:K532)</f>
        <v>227188.11999999997</v>
      </c>
      <c r="M532" s="8"/>
      <c r="N532" s="264"/>
    </row>
    <row r="533" spans="1:14" s="3" customFormat="1" ht="12.2" customHeight="1" x14ac:dyDescent="0.15">
      <c r="A533" s="22" t="s">
        <v>634</v>
      </c>
      <c r="B533" s="105">
        <v>21</v>
      </c>
      <c r="C533" s="105">
        <v>10</v>
      </c>
      <c r="D533" s="2" t="s">
        <v>432</v>
      </c>
      <c r="E533" s="105"/>
      <c r="F533" s="18">
        <f>134071.34</f>
        <v>134071.34</v>
      </c>
      <c r="G533" s="18">
        <f>15313.07</f>
        <v>15313.07</v>
      </c>
      <c r="H533" s="18">
        <f>666.07</f>
        <v>666.07</v>
      </c>
      <c r="I533" s="18">
        <f>1136.53</f>
        <v>1136.53</v>
      </c>
      <c r="J533" s="18"/>
      <c r="K533" s="18">
        <f>971.4</f>
        <v>971.4</v>
      </c>
      <c r="L533" s="88">
        <f>SUM(F533:K533)</f>
        <v>152158.41</v>
      </c>
      <c r="M533" s="8"/>
      <c r="N533" s="264"/>
    </row>
    <row r="534" spans="1:14" s="3" customFormat="1" ht="12.2" customHeight="1" thickBot="1" x14ac:dyDescent="0.2">
      <c r="A534" s="22" t="s">
        <v>635</v>
      </c>
      <c r="B534" s="105">
        <v>21</v>
      </c>
      <c r="C534" s="105">
        <v>11</v>
      </c>
      <c r="D534" s="2" t="s">
        <v>432</v>
      </c>
      <c r="E534" s="105"/>
      <c r="F534" s="18">
        <f>120201.89</f>
        <v>120201.89</v>
      </c>
      <c r="G534" s="18">
        <f>13192.8</f>
        <v>13192.8</v>
      </c>
      <c r="H534" s="18">
        <f>597.17</f>
        <v>597.16999999999996</v>
      </c>
      <c r="I534" s="18">
        <f>1018.96</f>
        <v>1018.96</v>
      </c>
      <c r="J534" s="18"/>
      <c r="K534" s="18">
        <f>870.91</f>
        <v>870.91</v>
      </c>
      <c r="L534" s="88">
        <f>SUM(F534:K534)</f>
        <v>135881.73000000001</v>
      </c>
      <c r="M534" s="8"/>
      <c r="N534" s="264"/>
    </row>
    <row r="535" spans="1:14" s="3" customFormat="1" ht="12.2" customHeight="1" thickTop="1" x14ac:dyDescent="0.15">
      <c r="A535" s="139" t="s">
        <v>67</v>
      </c>
      <c r="B535" s="107">
        <v>21</v>
      </c>
      <c r="C535" s="107">
        <v>12</v>
      </c>
      <c r="D535" s="158" t="s">
        <v>432</v>
      </c>
      <c r="E535" s="107"/>
      <c r="F535" s="89">
        <f>SUM(F532:F534)</f>
        <v>462314.97</v>
      </c>
      <c r="G535" s="89">
        <f t="shared" ref="G535:L535" si="38">SUM(G532:G534)</f>
        <v>43347.770000000004</v>
      </c>
      <c r="H535" s="89">
        <f t="shared" si="38"/>
        <v>2296.8000000000002</v>
      </c>
      <c r="I535" s="89">
        <f t="shared" si="38"/>
        <v>3919.0699999999997</v>
      </c>
      <c r="J535" s="89">
        <f t="shared" si="38"/>
        <v>0</v>
      </c>
      <c r="K535" s="89">
        <f t="shared" si="38"/>
        <v>3349.6499999999996</v>
      </c>
      <c r="L535" s="89">
        <f t="shared" si="38"/>
        <v>515228.26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f>5265</f>
        <v>5265</v>
      </c>
      <c r="I537" s="18"/>
      <c r="J537" s="18"/>
      <c r="K537" s="18"/>
      <c r="L537" s="88">
        <f>SUM(F537:K537)</f>
        <v>5265</v>
      </c>
      <c r="M537" s="8"/>
      <c r="N537" s="264"/>
    </row>
    <row r="538" spans="1:14" s="3" customFormat="1" ht="12.2" customHeight="1" x14ac:dyDescent="0.15">
      <c r="A538" s="22" t="s">
        <v>634</v>
      </c>
      <c r="B538" s="105">
        <v>21</v>
      </c>
      <c r="C538" s="105">
        <v>14</v>
      </c>
      <c r="D538" s="2" t="s">
        <v>432</v>
      </c>
      <c r="E538" s="105"/>
      <c r="F538" s="18"/>
      <c r="G538" s="18"/>
      <c r="H538" s="18">
        <f>3393</f>
        <v>3393</v>
      </c>
      <c r="I538" s="18"/>
      <c r="J538" s="18"/>
      <c r="K538" s="18"/>
      <c r="L538" s="88">
        <f>SUM(F538:K538)</f>
        <v>3393</v>
      </c>
      <c r="M538" s="8"/>
      <c r="N538" s="264"/>
    </row>
    <row r="539" spans="1:14" s="3" customFormat="1" ht="12.2" customHeight="1" thickBot="1" x14ac:dyDescent="0.2">
      <c r="A539" s="22" t="s">
        <v>635</v>
      </c>
      <c r="B539" s="105">
        <v>21</v>
      </c>
      <c r="C539" s="105">
        <v>15</v>
      </c>
      <c r="D539" s="2" t="s">
        <v>432</v>
      </c>
      <c r="E539" s="105"/>
      <c r="F539" s="18"/>
      <c r="G539" s="18"/>
      <c r="H539" s="18">
        <f>3042</f>
        <v>3042</v>
      </c>
      <c r="I539" s="18"/>
      <c r="J539" s="18"/>
      <c r="K539" s="18"/>
      <c r="L539" s="88">
        <f>SUM(F539:K539)</f>
        <v>3042</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11700</v>
      </c>
      <c r="I540" s="89">
        <f t="shared" si="39"/>
        <v>0</v>
      </c>
      <c r="J540" s="89">
        <f t="shared" si="39"/>
        <v>0</v>
      </c>
      <c r="K540" s="89">
        <f t="shared" si="39"/>
        <v>0</v>
      </c>
      <c r="L540" s="89">
        <f t="shared" si="39"/>
        <v>11700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f>170873.99</f>
        <v>170873.99</v>
      </c>
      <c r="G542" s="18"/>
      <c r="H542" s="18"/>
      <c r="I542" s="18"/>
      <c r="J542" s="18"/>
      <c r="K542" s="18"/>
      <c r="L542" s="88">
        <f>SUM(F542:K542)</f>
        <v>170873.99</v>
      </c>
      <c r="M542" s="8"/>
      <c r="N542" s="264"/>
    </row>
    <row r="543" spans="1:14" s="3" customFormat="1" ht="12.2" customHeight="1" x14ac:dyDescent="0.15">
      <c r="A543" s="22" t="s">
        <v>634</v>
      </c>
      <c r="B543" s="105">
        <v>21</v>
      </c>
      <c r="C543" s="105">
        <v>18</v>
      </c>
      <c r="D543" s="2" t="s">
        <v>432</v>
      </c>
      <c r="E543" s="105"/>
      <c r="F543" s="18">
        <f>48969.17</f>
        <v>48969.17</v>
      </c>
      <c r="G543" s="18"/>
      <c r="H543" s="18"/>
      <c r="I543" s="18"/>
      <c r="J543" s="18"/>
      <c r="K543" s="18"/>
      <c r="L543" s="88">
        <f>SUM(F543:K543)</f>
        <v>48969.17</v>
      </c>
      <c r="M543" s="8"/>
      <c r="N543" s="264"/>
    </row>
    <row r="544" spans="1:14" s="3" customFormat="1" ht="12.2" customHeight="1" thickBot="1" x14ac:dyDescent="0.2">
      <c r="A544" s="22" t="s">
        <v>635</v>
      </c>
      <c r="B544" s="105">
        <v>21</v>
      </c>
      <c r="C544" s="105">
        <v>19</v>
      </c>
      <c r="D544" s="2" t="s">
        <v>432</v>
      </c>
      <c r="E544" s="105"/>
      <c r="F544" s="18">
        <f>149669.96</f>
        <v>149669.96</v>
      </c>
      <c r="G544" s="18"/>
      <c r="H544" s="18"/>
      <c r="I544" s="18"/>
      <c r="J544" s="18"/>
      <c r="K544" s="18"/>
      <c r="L544" s="88">
        <f>SUM(F544:K544)</f>
        <v>149669.96</v>
      </c>
      <c r="M544" s="8"/>
      <c r="N544" s="264"/>
    </row>
    <row r="545" spans="1:14" s="3" customFormat="1" ht="12.2" customHeight="1" thickTop="1" thickBot="1" x14ac:dyDescent="0.2">
      <c r="A545" s="130" t="s">
        <v>71</v>
      </c>
      <c r="B545" s="191">
        <v>21</v>
      </c>
      <c r="C545" s="191">
        <v>20</v>
      </c>
      <c r="D545" s="192" t="s">
        <v>432</v>
      </c>
      <c r="E545" s="191"/>
      <c r="F545" s="193">
        <f>SUM(F542:F544)</f>
        <v>369513.12</v>
      </c>
      <c r="G545" s="193">
        <f t="shared" ref="G545:L545" si="40">SUM(G542:G544)</f>
        <v>0</v>
      </c>
      <c r="H545" s="193">
        <f t="shared" si="40"/>
        <v>0</v>
      </c>
      <c r="I545" s="193">
        <f t="shared" si="40"/>
        <v>0</v>
      </c>
      <c r="J545" s="193">
        <f t="shared" si="40"/>
        <v>0</v>
      </c>
      <c r="K545" s="193">
        <f t="shared" si="40"/>
        <v>0</v>
      </c>
      <c r="L545" s="193">
        <f t="shared" si="40"/>
        <v>369513.12</v>
      </c>
      <c r="M545" s="8"/>
      <c r="N545" s="264"/>
    </row>
    <row r="546" spans="1:14" s="3" customFormat="1" ht="12.2" customHeight="1" thickTop="1" x14ac:dyDescent="0.15">
      <c r="A546" s="98" t="s">
        <v>72</v>
      </c>
      <c r="B546" s="107">
        <v>21</v>
      </c>
      <c r="C546" s="107">
        <v>21</v>
      </c>
      <c r="D546" s="158" t="s">
        <v>432</v>
      </c>
      <c r="E546" s="107"/>
      <c r="F546" s="89">
        <f>F525+F530+F535+F540+F545</f>
        <v>6491048.2199999988</v>
      </c>
      <c r="G546" s="89">
        <f t="shared" ref="G546:L546" si="41">G525+G530+G535+G540+G545</f>
        <v>2478966.38</v>
      </c>
      <c r="H546" s="89">
        <f t="shared" si="41"/>
        <v>1351419.03</v>
      </c>
      <c r="I546" s="89">
        <f t="shared" si="41"/>
        <v>56284.079999999994</v>
      </c>
      <c r="J546" s="89">
        <f t="shared" si="41"/>
        <v>8823.17</v>
      </c>
      <c r="K546" s="89">
        <f t="shared" si="41"/>
        <v>3820.8899999999994</v>
      </c>
      <c r="L546" s="89">
        <f t="shared" si="41"/>
        <v>10390361.769999998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2949735.91</v>
      </c>
      <c r="G550" s="87">
        <f>L527</f>
        <v>1296030.74</v>
      </c>
      <c r="H550" s="87">
        <f>L532</f>
        <v>227188.11999999997</v>
      </c>
      <c r="I550" s="87">
        <f>L537</f>
        <v>5265</v>
      </c>
      <c r="J550" s="87">
        <f>L542</f>
        <v>170873.99</v>
      </c>
      <c r="K550" s="87">
        <f>SUM(F550:J550)</f>
        <v>4649093.7600000007</v>
      </c>
      <c r="L550" s="24" t="s">
        <v>288</v>
      </c>
      <c r="M550" s="8"/>
      <c r="N550" s="264"/>
    </row>
    <row r="551" spans="1:14" s="3" customFormat="1" ht="12.2" customHeight="1" x14ac:dyDescent="0.15">
      <c r="A551" s="22" t="s">
        <v>634</v>
      </c>
      <c r="B551" s="75">
        <v>21</v>
      </c>
      <c r="C551" s="75">
        <v>23</v>
      </c>
      <c r="D551" s="2" t="s">
        <v>432</v>
      </c>
      <c r="E551" s="75"/>
      <c r="F551" s="87">
        <f>L523</f>
        <v>1518824.76</v>
      </c>
      <c r="G551" s="87">
        <f>L528</f>
        <v>673397.74999999988</v>
      </c>
      <c r="H551" s="87">
        <f>L533</f>
        <v>152158.41</v>
      </c>
      <c r="I551" s="87">
        <f>L538</f>
        <v>3393</v>
      </c>
      <c r="J551" s="87">
        <f>L543</f>
        <v>48969.17</v>
      </c>
      <c r="K551" s="87">
        <f>SUM(F551:J551)</f>
        <v>2396743.09</v>
      </c>
      <c r="L551" s="24" t="s">
        <v>288</v>
      </c>
      <c r="M551" s="8"/>
      <c r="N551" s="264"/>
    </row>
    <row r="552" spans="1:14" s="3" customFormat="1" ht="12.2" customHeight="1" thickBot="1" x14ac:dyDescent="0.2">
      <c r="A552" s="22" t="s">
        <v>635</v>
      </c>
      <c r="B552" s="75">
        <v>21</v>
      </c>
      <c r="C552" s="75">
        <v>24</v>
      </c>
      <c r="D552" s="2" t="s">
        <v>432</v>
      </c>
      <c r="E552" s="75"/>
      <c r="F552" s="87">
        <f>L524</f>
        <v>2157096.7399999993</v>
      </c>
      <c r="G552" s="87">
        <f>L529</f>
        <v>898834.48999999987</v>
      </c>
      <c r="H552" s="87">
        <f>L534</f>
        <v>135881.73000000001</v>
      </c>
      <c r="I552" s="87">
        <f>L539</f>
        <v>3042</v>
      </c>
      <c r="J552" s="87">
        <f>L544</f>
        <v>149669.96</v>
      </c>
      <c r="K552" s="87">
        <f>SUM(F552:J552)</f>
        <v>3344524.919999999</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6625657.4099999992</v>
      </c>
      <c r="G553" s="89">
        <f t="shared" si="42"/>
        <v>2868262.9799999995</v>
      </c>
      <c r="H553" s="89">
        <f t="shared" si="42"/>
        <v>515228.26</v>
      </c>
      <c r="I553" s="89">
        <f t="shared" si="42"/>
        <v>11700</v>
      </c>
      <c r="J553" s="89">
        <f t="shared" si="42"/>
        <v>369513.12</v>
      </c>
      <c r="K553" s="89">
        <f t="shared" si="42"/>
        <v>10390361.77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f>182465.8</f>
        <v>182465.8</v>
      </c>
      <c r="G558" s="18">
        <f>29439.03</f>
        <v>29439.03</v>
      </c>
      <c r="H558" s="18">
        <f>115</f>
        <v>115</v>
      </c>
      <c r="I558" s="18">
        <f>16777.38</f>
        <v>16777.38</v>
      </c>
      <c r="J558" s="18"/>
      <c r="K558" s="18"/>
      <c r="L558" s="88">
        <f>SUM(F558:K558)</f>
        <v>228797.21</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182465.8</v>
      </c>
      <c r="G561" s="108">
        <f t="shared" si="43"/>
        <v>29439.03</v>
      </c>
      <c r="H561" s="108">
        <f t="shared" si="43"/>
        <v>115</v>
      </c>
      <c r="I561" s="108">
        <f t="shared" si="43"/>
        <v>16777.38</v>
      </c>
      <c r="J561" s="108">
        <f t="shared" si="43"/>
        <v>0</v>
      </c>
      <c r="K561" s="108">
        <f t="shared" si="43"/>
        <v>0</v>
      </c>
      <c r="L561" s="89">
        <f t="shared" si="43"/>
        <v>228797.21</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f>38380.63+1243.14</f>
        <v>39623.769999999997</v>
      </c>
      <c r="G563" s="18">
        <f>19075.91+213.09</f>
        <v>19289</v>
      </c>
      <c r="H563" s="18">
        <f>78</f>
        <v>78</v>
      </c>
      <c r="I563" s="18">
        <f>236.61</f>
        <v>236.61</v>
      </c>
      <c r="J563" s="18"/>
      <c r="K563" s="18"/>
      <c r="L563" s="88">
        <f>SUM(F563:K563)</f>
        <v>59227.38</v>
      </c>
      <c r="M563" s="8"/>
      <c r="N563" s="264"/>
    </row>
    <row r="564" spans="1:14" s="3" customFormat="1" ht="12.2" customHeight="1" x14ac:dyDescent="0.15">
      <c r="A564" s="22" t="s">
        <v>634</v>
      </c>
      <c r="B564" s="105">
        <v>22</v>
      </c>
      <c r="C564" s="115">
        <v>6</v>
      </c>
      <c r="D564" s="2" t="s">
        <v>432</v>
      </c>
      <c r="E564" s="115"/>
      <c r="F564" s="18">
        <f>27555.32+892.51</f>
        <v>28447.829999999998</v>
      </c>
      <c r="G564" s="18">
        <f>13695.53+152.99</f>
        <v>13848.52</v>
      </c>
      <c r="H564" s="18">
        <f>56</f>
        <v>56</v>
      </c>
      <c r="I564" s="18"/>
      <c r="J564" s="18"/>
      <c r="K564" s="18"/>
      <c r="L564" s="88">
        <f>SUM(F564:K564)</f>
        <v>42352.35</v>
      </c>
      <c r="M564" s="8"/>
      <c r="N564" s="264"/>
    </row>
    <row r="565" spans="1:14" s="3" customFormat="1" ht="12.2" customHeight="1" thickBot="1" x14ac:dyDescent="0.2">
      <c r="A565" s="22" t="s">
        <v>635</v>
      </c>
      <c r="B565" s="105">
        <v>22</v>
      </c>
      <c r="C565" s="118">
        <v>7</v>
      </c>
      <c r="D565" s="2" t="s">
        <v>432</v>
      </c>
      <c r="E565" s="118"/>
      <c r="F565" s="18">
        <f>32475.91+1051.88</f>
        <v>33527.79</v>
      </c>
      <c r="G565" s="18">
        <f>16141.16+180.31</f>
        <v>16321.47</v>
      </c>
      <c r="H565" s="18">
        <f>66</f>
        <v>66</v>
      </c>
      <c r="I565" s="18"/>
      <c r="J565" s="18"/>
      <c r="K565" s="18"/>
      <c r="L565" s="88">
        <f>SUM(F565:K565)</f>
        <v>49915.26</v>
      </c>
      <c r="M565" s="8"/>
      <c r="N565" s="264"/>
    </row>
    <row r="566" spans="1:14" s="3" customFormat="1" ht="12.2" customHeight="1" thickTop="1" x14ac:dyDescent="0.15">
      <c r="A566" s="139" t="s">
        <v>65</v>
      </c>
      <c r="B566" s="107">
        <v>22</v>
      </c>
      <c r="C566" s="107">
        <v>8</v>
      </c>
      <c r="D566" s="196" t="s">
        <v>432</v>
      </c>
      <c r="E566" s="107"/>
      <c r="F566" s="89">
        <f t="shared" ref="F566:L566" si="44">SUM(F563:F565)</f>
        <v>101599.38999999998</v>
      </c>
      <c r="G566" s="89">
        <f t="shared" si="44"/>
        <v>49458.990000000005</v>
      </c>
      <c r="H566" s="89">
        <f t="shared" si="44"/>
        <v>200</v>
      </c>
      <c r="I566" s="89">
        <f t="shared" si="44"/>
        <v>236.61</v>
      </c>
      <c r="J566" s="89">
        <f t="shared" si="44"/>
        <v>0</v>
      </c>
      <c r="K566" s="89">
        <f t="shared" si="44"/>
        <v>0</v>
      </c>
      <c r="L566" s="89">
        <f t="shared" si="44"/>
        <v>151494.99</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f>83847</f>
        <v>83847</v>
      </c>
      <c r="G568" s="18">
        <f>48116.93</f>
        <v>48116.93</v>
      </c>
      <c r="H568" s="18"/>
      <c r="I568" s="18">
        <f>900.2</f>
        <v>900.2</v>
      </c>
      <c r="J568" s="18"/>
      <c r="K568" s="18">
        <f>290</f>
        <v>290</v>
      </c>
      <c r="L568" s="88">
        <f>SUM(F568:K568)</f>
        <v>133154.13</v>
      </c>
      <c r="M568" s="8"/>
      <c r="N568" s="264"/>
    </row>
    <row r="569" spans="1:14" s="3" customFormat="1" ht="12.2" customHeight="1" x14ac:dyDescent="0.15">
      <c r="A569" s="22" t="s">
        <v>634</v>
      </c>
      <c r="B569" s="105">
        <v>22</v>
      </c>
      <c r="C569" s="105">
        <v>10</v>
      </c>
      <c r="D569" s="2" t="s">
        <v>432</v>
      </c>
      <c r="E569" s="105"/>
      <c r="F569" s="18"/>
      <c r="G569" s="18"/>
      <c r="H569" s="18"/>
      <c r="I569" s="18"/>
      <c r="J569" s="18"/>
      <c r="K569" s="18">
        <f>500</f>
        <v>500</v>
      </c>
      <c r="L569" s="88">
        <f>SUM(F569:K569)</f>
        <v>500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83847</v>
      </c>
      <c r="G571" s="193">
        <f t="shared" ref="G571:L571" si="45">SUM(G568:G570)</f>
        <v>48116.93</v>
      </c>
      <c r="H571" s="193">
        <f t="shared" si="45"/>
        <v>0</v>
      </c>
      <c r="I571" s="193">
        <f t="shared" si="45"/>
        <v>900.2</v>
      </c>
      <c r="J571" s="193">
        <f t="shared" si="45"/>
        <v>0</v>
      </c>
      <c r="K571" s="193">
        <f t="shared" si="45"/>
        <v>790</v>
      </c>
      <c r="L571" s="193">
        <f t="shared" si="45"/>
        <v>133654.13</v>
      </c>
      <c r="M571" s="8"/>
      <c r="N571" s="264"/>
    </row>
    <row r="572" spans="1:14" s="3" customFormat="1" ht="12.2" customHeight="1" thickTop="1" x14ac:dyDescent="0.15">
      <c r="A572" s="98" t="s">
        <v>88</v>
      </c>
      <c r="B572" s="107">
        <v>22</v>
      </c>
      <c r="C572" s="107">
        <v>13</v>
      </c>
      <c r="D572" s="158" t="s">
        <v>432</v>
      </c>
      <c r="E572" s="107"/>
      <c r="F572" s="89">
        <f>F561+F566+F571</f>
        <v>367912.18999999994</v>
      </c>
      <c r="G572" s="89">
        <f t="shared" ref="G572:L572" si="46">G561+G566+G571</f>
        <v>127014.95000000001</v>
      </c>
      <c r="H572" s="89">
        <f t="shared" si="46"/>
        <v>315</v>
      </c>
      <c r="I572" s="89">
        <f t="shared" si="46"/>
        <v>17914.190000000002</v>
      </c>
      <c r="J572" s="89">
        <f t="shared" si="46"/>
        <v>0</v>
      </c>
      <c r="K572" s="89">
        <f t="shared" si="46"/>
        <v>790</v>
      </c>
      <c r="L572" s="89">
        <f t="shared" si="46"/>
        <v>513946.32999999996</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195275.74</f>
        <v>195275.74</v>
      </c>
      <c r="G583" s="18">
        <f>23950.49</f>
        <v>23950.49</v>
      </c>
      <c r="H583" s="18">
        <f>651694.97</f>
        <v>651694.97</v>
      </c>
      <c r="I583" s="87">
        <f t="shared" si="47"/>
        <v>870921.2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f>18221.79</f>
        <v>18221.79</v>
      </c>
      <c r="I585" s="87">
        <f t="shared" si="47"/>
        <v>18221.79</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402545.61</v>
      </c>
      <c r="I592" s="18">
        <f>237214.38</f>
        <v>237214.38</v>
      </c>
      <c r="J592" s="18">
        <f>79071.46</f>
        <v>79071.460000000006</v>
      </c>
      <c r="K592" s="104">
        <f t="shared" ref="K592:K598" si="48">SUM(H592:J592)</f>
        <v>718831.45</v>
      </c>
      <c r="L592" s="24" t="s">
        <v>288</v>
      </c>
      <c r="M592" s="8"/>
      <c r="N592" s="264"/>
    </row>
    <row r="593" spans="1:14" s="3" customFormat="1" ht="12.2" customHeight="1" x14ac:dyDescent="0.15">
      <c r="A593" s="3" t="s">
        <v>638</v>
      </c>
      <c r="B593" s="75">
        <v>23</v>
      </c>
      <c r="C593" s="75">
        <v>2</v>
      </c>
      <c r="D593" s="2" t="s">
        <v>432</v>
      </c>
      <c r="E593" s="75"/>
      <c r="F593" s="102">
        <v>2722</v>
      </c>
      <c r="G593" s="103" t="s">
        <v>97</v>
      </c>
      <c r="H593" s="18">
        <f>170873.99</f>
        <v>170873.99</v>
      </c>
      <c r="I593" s="18">
        <f>48969.17</f>
        <v>48969.17</v>
      </c>
      <c r="J593" s="18">
        <f>149669.96</f>
        <v>149669.96</v>
      </c>
      <c r="K593" s="104">
        <f t="shared" si="48"/>
        <v>369513.12</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f>4046</f>
        <v>4046</v>
      </c>
      <c r="K594" s="104">
        <f t="shared" si="48"/>
        <v>4046</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f>6991.15</f>
        <v>6991.15</v>
      </c>
      <c r="J595" s="18">
        <f>6513.11</f>
        <v>6513.11</v>
      </c>
      <c r="K595" s="104">
        <f t="shared" si="48"/>
        <v>13504.259999999998</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573419.6</v>
      </c>
      <c r="I599" s="108">
        <f>SUM(I592:I598)</f>
        <v>293174.7</v>
      </c>
      <c r="J599" s="108">
        <f>SUM(J592:J598)</f>
        <v>239300.52999999997</v>
      </c>
      <c r="K599" s="108">
        <f>SUM(K592:K598)</f>
        <v>1105894.8299999998</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206156.95+83473.07+87717.23-0.02</f>
        <v>377347.23</v>
      </c>
      <c r="I605" s="18">
        <f>9001.46+59929.38+62976.48</f>
        <v>131907.32</v>
      </c>
      <c r="J605" s="18">
        <f>304908.13+70631.06+118820.21</f>
        <v>494359.4</v>
      </c>
      <c r="K605" s="104">
        <f>SUM(H605:J605)</f>
        <v>1003613.95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377347.23</v>
      </c>
      <c r="I606" s="108">
        <f>SUM(I603:I605)</f>
        <v>131907.32</v>
      </c>
      <c r="J606" s="108">
        <f>SUM(J603:J605)</f>
        <v>494359.4</v>
      </c>
      <c r="K606" s="108">
        <f>SUM(K603:K605)</f>
        <v>1003613.95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6655.5+9135+19783.84</f>
        <v>35574.339999999997</v>
      </c>
      <c r="G612" s="18">
        <f>1207.87</f>
        <v>1207.8699999999999</v>
      </c>
      <c r="H612" s="18"/>
      <c r="I612" s="18">
        <f>2221.57+8748.03</f>
        <v>10969.6</v>
      </c>
      <c r="J612" s="18"/>
      <c r="K612" s="18"/>
      <c r="L612" s="88">
        <f>SUM(F612:K612)</f>
        <v>47751.81</v>
      </c>
      <c r="M612" s="8"/>
      <c r="N612" s="264"/>
    </row>
    <row r="613" spans="1:14" s="3" customFormat="1" ht="12.2" customHeight="1" x14ac:dyDescent="0.15">
      <c r="A613" s="22" t="s">
        <v>634</v>
      </c>
      <c r="B613" s="75">
        <v>23</v>
      </c>
      <c r="C613" s="75">
        <v>14</v>
      </c>
      <c r="D613" s="2" t="s">
        <v>432</v>
      </c>
      <c r="E613" s="75"/>
      <c r="F613" s="18">
        <f>12749.58</f>
        <v>12749.58</v>
      </c>
      <c r="G613" s="18"/>
      <c r="H613" s="18"/>
      <c r="I613" s="18"/>
      <c r="J613" s="18"/>
      <c r="K613" s="18"/>
      <c r="L613" s="88">
        <f>SUM(F613:K613)</f>
        <v>12749.58</v>
      </c>
      <c r="M613" s="8"/>
      <c r="N613" s="264"/>
    </row>
    <row r="614" spans="1:14" s="3" customFormat="1" ht="12.2" customHeight="1" thickBot="1" x14ac:dyDescent="0.2">
      <c r="A614" s="22" t="s">
        <v>645</v>
      </c>
      <c r="B614" s="75">
        <v>23</v>
      </c>
      <c r="C614" s="75">
        <v>15</v>
      </c>
      <c r="D614" s="2" t="s">
        <v>432</v>
      </c>
      <c r="E614" s="75"/>
      <c r="F614" s="18">
        <f>11430.64</f>
        <v>11430.64</v>
      </c>
      <c r="G614" s="18"/>
      <c r="H614" s="18"/>
      <c r="I614" s="18"/>
      <c r="J614" s="18"/>
      <c r="K614" s="18"/>
      <c r="L614" s="88">
        <f>SUM(F614:K614)</f>
        <v>11430.64</v>
      </c>
      <c r="M614" s="8"/>
      <c r="N614" s="264"/>
    </row>
    <row r="615" spans="1:14" s="3" customFormat="1" ht="12.2" customHeight="1" thickTop="1" x14ac:dyDescent="0.15">
      <c r="A615" s="98" t="s">
        <v>340</v>
      </c>
      <c r="B615" s="107">
        <v>23</v>
      </c>
      <c r="C615" s="107">
        <v>16</v>
      </c>
      <c r="D615" s="39" t="s">
        <v>432</v>
      </c>
      <c r="E615" s="107"/>
      <c r="F615" s="108">
        <f t="shared" ref="F615:L615" si="49">SUM(F612:F614)</f>
        <v>59754.559999999998</v>
      </c>
      <c r="G615" s="108">
        <f t="shared" si="49"/>
        <v>1207.8699999999999</v>
      </c>
      <c r="H615" s="108">
        <f t="shared" si="49"/>
        <v>0</v>
      </c>
      <c r="I615" s="108">
        <f t="shared" si="49"/>
        <v>10969.6</v>
      </c>
      <c r="J615" s="108">
        <f t="shared" si="49"/>
        <v>0</v>
      </c>
      <c r="K615" s="108">
        <f t="shared" si="49"/>
        <v>0</v>
      </c>
      <c r="L615" s="89">
        <f t="shared" si="49"/>
        <v>71932.03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3271714.9399999995</v>
      </c>
      <c r="H618" s="109">
        <f>SUM(F52)</f>
        <v>3271714.94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103879.32</v>
      </c>
      <c r="H619" s="109">
        <f>SUM(G52)</f>
        <v>103879.32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633258.98</v>
      </c>
      <c r="H620" s="109">
        <f>SUM(H52)</f>
        <v>633258.98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767970.24</v>
      </c>
      <c r="H622" s="109">
        <f>SUM(J52)</f>
        <v>767970.24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2588468.19</v>
      </c>
      <c r="H623" s="109">
        <f>F477</f>
        <v>2588468.1899999976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323144.62</v>
      </c>
      <c r="H625" s="109">
        <f>H477</f>
        <v>323144.61999999988</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767970.24</v>
      </c>
      <c r="H627" s="109">
        <f>J477</f>
        <v>767970.24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41331682.769999996</v>
      </c>
      <c r="H628" s="104">
        <f>SUM(F469)</f>
        <v>41331682.770000003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354934.48</v>
      </c>
      <c r="H629" s="104">
        <f>SUM(G469)</f>
        <v>354934.48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1789808.4500000002</v>
      </c>
      <c r="H630" s="104">
        <f>SUM(H469)</f>
        <v>1789808.45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655629.32999999996</v>
      </c>
      <c r="H632" s="104">
        <f>SUM(J469)</f>
        <v>655629.32999999996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39857832.269999996</v>
      </c>
      <c r="H633" s="104">
        <f>SUM(F473)</f>
        <v>39857832.270000003</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1808202.4299999997</v>
      </c>
      <c r="H634" s="104">
        <f>SUM(H473)</f>
        <v>1808202.43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102320.37</v>
      </c>
      <c r="H635" s="104">
        <f>I370</f>
        <v>102320.37000000001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386113.64</v>
      </c>
      <c r="H636" s="104">
        <f>SUM(G473)</f>
        <v>386113.64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655629.33000000007</v>
      </c>
      <c r="H638" s="164">
        <f>SUM(J469)</f>
        <v>655629.32999999996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260800</v>
      </c>
      <c r="H639" s="164">
        <f>SUM(J473)</f>
        <v>260800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767970.24</v>
      </c>
      <c r="H641" s="104">
        <f>SUM(G462)</f>
        <v>767970.24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767970.24</v>
      </c>
      <c r="H643" s="104">
        <f>SUM(I462)</f>
        <v>767970.24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55629.33</v>
      </c>
      <c r="H645" s="104">
        <f>H409</f>
        <v>55629.33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600000</v>
      </c>
      <c r="H646" s="104">
        <f>G409</f>
        <v>600000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655629.32999999996</v>
      </c>
      <c r="H647" s="104">
        <f>L409</f>
        <v>655629.33000000007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1105894.8299999998</v>
      </c>
      <c r="H648" s="104">
        <f>L209+L227+L245</f>
        <v>1105894.83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1003613.95</v>
      </c>
      <c r="H649" s="104">
        <f>(J258+J339)-(J256+J337)</f>
        <v>1003613.95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573419.6</v>
      </c>
      <c r="H650" s="104">
        <f>H599</f>
        <v>573419.6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293174.7</v>
      </c>
      <c r="H651" s="104">
        <f>I599</f>
        <v>293174.7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239300.53000000003</v>
      </c>
      <c r="H652" s="104">
        <f>J599</f>
        <v>239300.52999999997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61273.97</v>
      </c>
      <c r="H653" s="104">
        <f>K264+K346</f>
        <v>61273.97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600000</v>
      </c>
      <c r="H656" s="104">
        <f>K267+K348</f>
        <v>600000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15993245.969999999</v>
      </c>
      <c r="G661" s="19">
        <f>(L230+L310+L360)</f>
        <v>9658250.0600000005</v>
      </c>
      <c r="H661" s="19">
        <f>(L248+L329+L361)</f>
        <v>14918513.35</v>
      </c>
      <c r="I661" s="19">
        <f>SUM(F661:H661)</f>
        <v>40570009.380000003</v>
      </c>
      <c r="J661" s="13"/>
      <c r="K661" s="13"/>
      <c r="L661" s="13"/>
      <c r="M661" s="9"/>
    </row>
    <row r="662" spans="1:13" s="3" customFormat="1" ht="12.2" customHeight="1" x14ac:dyDescent="0.2">
      <c r="A662" s="1" t="s">
        <v>127</v>
      </c>
      <c r="F662" s="19">
        <f>(L359/IF(SUM(L359:L361)=0,1,SUM(L359:L361))*(SUM(G97:G110)))</f>
        <v>8340.2485127601285</v>
      </c>
      <c r="G662" s="19">
        <f>(L360/IF(SUM(L359:L361)=0,1,SUM(L359:L361))*(SUM(G97:G110)))</f>
        <v>5084.770472618372</v>
      </c>
      <c r="H662" s="19">
        <f>(L361/IF(SUM(L359:L361)=0,1,SUM(L359:L361))*(SUM(G97:G110)))</f>
        <v>9611.3910146214967</v>
      </c>
      <c r="I662" s="19">
        <f>SUM(F662:H662)</f>
        <v>23036.409999999996</v>
      </c>
      <c r="J662"/>
      <c r="K662" s="13"/>
      <c r="L662" s="13"/>
      <c r="M662" s="8"/>
    </row>
    <row r="663" spans="1:13" s="3" customFormat="1" ht="12.2" customHeight="1" x14ac:dyDescent="0.2">
      <c r="A663" s="1" t="s">
        <v>128</v>
      </c>
      <c r="F663" s="19">
        <f>(L209+L288)-(J209+J288)</f>
        <v>589851.37</v>
      </c>
      <c r="G663" s="19">
        <f>(L227+L307)-(J227+J307)</f>
        <v>308434.96000000002</v>
      </c>
      <c r="H663" s="19">
        <f>(L245+L326)-(J245+J326)</f>
        <v>258974.36000000004</v>
      </c>
      <c r="I663" s="19">
        <f>SUM(F663:H663)</f>
        <v>1157260.6900000002</v>
      </c>
      <c r="J663"/>
      <c r="K663" s="13"/>
      <c r="L663" s="13"/>
      <c r="M663" s="9"/>
    </row>
    <row r="664" spans="1:13" s="3" customFormat="1" ht="12.2" customHeight="1" x14ac:dyDescent="0.15">
      <c r="A664" s="198" t="s">
        <v>129</v>
      </c>
      <c r="B664" s="169"/>
      <c r="C664" s="169"/>
      <c r="D664" s="169"/>
      <c r="E664" s="169"/>
      <c r="F664" s="199">
        <f>SUM(F576:F588)+SUM(H603:H605)+SUM(L612)</f>
        <v>620374.78</v>
      </c>
      <c r="G664" s="199">
        <f>SUM(G576:G588)+SUM(I603:I605)+L613</f>
        <v>168607.38999999998</v>
      </c>
      <c r="H664" s="199">
        <f>SUM(H576:H588)+SUM(J603:J605)+L614</f>
        <v>1175706.8</v>
      </c>
      <c r="I664" s="19">
        <f>SUM(F664:H664)</f>
        <v>1964688.9700000002</v>
      </c>
      <c r="J664" s="13"/>
      <c r="K664" s="13"/>
      <c r="L664" s="13"/>
      <c r="M664" s="9"/>
    </row>
    <row r="665" spans="1:13" s="3" customFormat="1" ht="12.2" customHeight="1" x14ac:dyDescent="0.15">
      <c r="A665" s="1" t="s">
        <v>130</v>
      </c>
      <c r="F665" s="19">
        <f>F661-SUM(F662:F664)</f>
        <v>14774679.571487239</v>
      </c>
      <c r="G665" s="19">
        <f>G661-SUM(G662:G664)</f>
        <v>9176122.9395273812</v>
      </c>
      <c r="H665" s="19">
        <f>H661-SUM(H662:H664)</f>
        <v>13474220.798985379</v>
      </c>
      <c r="I665" s="19">
        <f>I661-SUM(I662:I664)</f>
        <v>37425023.310000002</v>
      </c>
      <c r="J665" s="13"/>
      <c r="K665" s="13"/>
      <c r="L665" s="13"/>
      <c r="M665" s="8"/>
    </row>
    <row r="666" spans="1:13" s="3" customFormat="1" ht="12.2" customHeight="1" x14ac:dyDescent="0.25">
      <c r="A666" s="1" t="s">
        <v>131</v>
      </c>
      <c r="F666" s="359">
        <v>862.74</v>
      </c>
      <c r="G666" s="359">
        <v>518.98</v>
      </c>
      <c r="H666" s="359">
        <v>750.28</v>
      </c>
      <c r="I666" s="19">
        <f>SUM(F666:H666)</f>
        <v>2132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17125.3</v>
      </c>
      <c r="G668" s="19">
        <f>ROUND(G665/G666,2)</f>
        <v>17681.07</v>
      </c>
      <c r="H668" s="19">
        <f>ROUND(H665/H666,2)</f>
        <v>17958.919999999998</v>
      </c>
      <c r="I668" s="19">
        <f>ROUND(I665/I666,2)</f>
        <v>17553.95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-0.11</v>
      </c>
      <c r="I671" s="19">
        <f>SUM(F671:H671)</f>
        <v>-0.11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17125.3</v>
      </c>
      <c r="G673" s="19">
        <f>ROUND((G665+G670)/(G666+G671),2)</f>
        <v>17681.07</v>
      </c>
      <c r="H673" s="19">
        <f>ROUND((H665+H670)/(H666+H671),2)</f>
        <v>17961.560000000001</v>
      </c>
      <c r="I673" s="19">
        <f>ROUND((I665+I670)/(I666+I671),2)</f>
        <v>17554.86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30" sqref="E30"/>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216965.89</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434800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477201.87</v>
      </c>
      <c r="F22" s="346"/>
    </row>
    <row r="23" spans="2:8" x14ac:dyDescent="0.25">
      <c r="B23" s="346"/>
      <c r="C23" s="346"/>
      <c r="D23" s="346"/>
      <c r="E23" s="346"/>
      <c r="F23" s="346"/>
    </row>
    <row r="24" spans="2:8" ht="26.25" customHeight="1" x14ac:dyDescent="0.25">
      <c r="B24" s="346"/>
      <c r="C24" s="348" t="s">
        <v>1661</v>
      </c>
      <c r="D24" s="346"/>
      <c r="E24" s="341">
        <v>20827.689999999999</v>
      </c>
      <c r="F24" s="346"/>
    </row>
    <row r="25" spans="2:8" ht="18" x14ac:dyDescent="0.25">
      <c r="B25" s="346"/>
      <c r="C25" s="349"/>
      <c r="D25" s="346"/>
      <c r="E25" s="346"/>
      <c r="F25" s="346"/>
    </row>
    <row r="26" spans="2:8" ht="27.75" customHeight="1" x14ac:dyDescent="0.25">
      <c r="B26" s="346"/>
      <c r="C26" s="348" t="s">
        <v>1662</v>
      </c>
      <c r="D26" s="346"/>
      <c r="E26" s="341">
        <v>444091.25</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v>150996.59</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6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Milford School District SAU 40</v>
      </c>
      <c r="C5" s="363"/>
      <c r="D5" s="363"/>
      <c r="E5" s="363"/>
      <c r="F5" s="363"/>
    </row>
    <row r="8" spans="1:9" ht="18" x14ac:dyDescent="0.25">
      <c r="A8" s="317" t="s">
        <v>1576</v>
      </c>
      <c r="F8" s="324" t="s">
        <v>1594</v>
      </c>
    </row>
    <row r="9" spans="1:9" ht="15" x14ac:dyDescent="0.2">
      <c r="A9" s="315" t="s">
        <v>1577</v>
      </c>
      <c r="B9" s="318">
        <f>'DOE25'!G97</f>
        <v>23036.41</v>
      </c>
      <c r="F9" s="315" t="s">
        <v>1590</v>
      </c>
    </row>
    <row r="10" spans="1:9" ht="15" x14ac:dyDescent="0.2">
      <c r="A10" s="315" t="s">
        <v>1578</v>
      </c>
      <c r="B10" s="318">
        <f>'DOE25'!G112-'DOE25'!G97</f>
        <v>0</v>
      </c>
      <c r="F10" s="315" t="s">
        <v>1591</v>
      </c>
    </row>
    <row r="11" spans="1:9" ht="15" x14ac:dyDescent="0.2">
      <c r="A11" s="315" t="s">
        <v>1579</v>
      </c>
      <c r="B11" s="318">
        <f>'DOE25'!G140</f>
        <v>8618.77</v>
      </c>
      <c r="F11" s="315" t="s">
        <v>1592</v>
      </c>
    </row>
    <row r="12" spans="1:9" ht="15" x14ac:dyDescent="0.2">
      <c r="A12" s="315" t="s">
        <v>1580</v>
      </c>
      <c r="B12" s="318">
        <f>'DOE25'!G170</f>
        <v>262005.33000000002</v>
      </c>
      <c r="F12" s="315" t="s">
        <v>1593</v>
      </c>
    </row>
    <row r="13" spans="1:9" ht="15" x14ac:dyDescent="0.2">
      <c r="A13" s="315" t="s">
        <v>1581</v>
      </c>
      <c r="B13" s="318">
        <f>'DOE25'!G193-'DOE25'!G180</f>
        <v>0</v>
      </c>
      <c r="F13" s="315" t="s">
        <v>1603</v>
      </c>
    </row>
    <row r="14" spans="1:9" ht="18" x14ac:dyDescent="0.25">
      <c r="A14" s="317" t="s">
        <v>732</v>
      </c>
      <c r="B14" s="319">
        <f>SUM(B9:B13)</f>
        <v>293660.51</v>
      </c>
    </row>
    <row r="16" spans="1:9" ht="18" x14ac:dyDescent="0.25">
      <c r="A16" s="317" t="s">
        <v>786</v>
      </c>
      <c r="F16" s="324" t="s">
        <v>1595</v>
      </c>
    </row>
    <row r="17" spans="1:6" ht="15" x14ac:dyDescent="0.2">
      <c r="A17" s="315" t="s">
        <v>1582</v>
      </c>
      <c r="B17" s="318">
        <f>'DOE25'!L363-'DOE25'!L362</f>
        <v>386113.64</v>
      </c>
      <c r="F17" s="315" t="s">
        <v>1596</v>
      </c>
    </row>
    <row r="18" spans="1:6" ht="15" x14ac:dyDescent="0.2">
      <c r="A18" s="315" t="s">
        <v>1583</v>
      </c>
      <c r="B18" s="328"/>
      <c r="F18" s="324" t="s">
        <v>1620</v>
      </c>
    </row>
    <row r="19" spans="1:6" ht="18" x14ac:dyDescent="0.25">
      <c r="A19" s="317" t="s">
        <v>725</v>
      </c>
      <c r="B19" s="319">
        <f>SUM(B17:B18)</f>
        <v>386113.64</v>
      </c>
    </row>
    <row r="21" spans="1:6" ht="18.75" thickBot="1" x14ac:dyDescent="0.3">
      <c r="A21" s="317" t="s">
        <v>1584</v>
      </c>
    </row>
    <row r="22" spans="1:6" ht="18.75" thickTop="1" x14ac:dyDescent="0.25">
      <c r="A22" s="317" t="s">
        <v>1585</v>
      </c>
      <c r="B22" s="323">
        <f>B14-B19</f>
        <v>-92453.13</v>
      </c>
      <c r="F22" s="315" t="s">
        <v>1597</v>
      </c>
    </row>
    <row r="26" spans="1:6" ht="18" x14ac:dyDescent="0.25">
      <c r="A26" s="317" t="s">
        <v>186</v>
      </c>
    </row>
    <row r="27" spans="1:6" ht="15" x14ac:dyDescent="0.2">
      <c r="A27" s="315" t="s">
        <v>1586</v>
      </c>
      <c r="B27" s="318">
        <f>'DOE25'!G180</f>
        <v>61273.97</v>
      </c>
      <c r="F27" s="315" t="s">
        <v>1598</v>
      </c>
    </row>
    <row r="28" spans="1:6" ht="15" x14ac:dyDescent="0.2">
      <c r="A28" s="315" t="s">
        <v>1588</v>
      </c>
      <c r="B28" s="318">
        <f>'DOE25'!L362</f>
        <v>0</v>
      </c>
      <c r="F28" s="315" t="s">
        <v>1599</v>
      </c>
    </row>
    <row r="31" spans="1:6" ht="15" x14ac:dyDescent="0.2">
      <c r="A31" s="315" t="s">
        <v>1628</v>
      </c>
      <c r="B31" s="318">
        <f>'DOE25'!G466</f>
        <v>31179.16</v>
      </c>
      <c r="F31" s="315" t="s">
        <v>1600</v>
      </c>
    </row>
    <row r="33" spans="1:6" ht="15" x14ac:dyDescent="0.2">
      <c r="A33" s="315" t="s">
        <v>1629</v>
      </c>
      <c r="B33" s="318">
        <f>'DOE25'!G477</f>
        <v>0</v>
      </c>
      <c r="F33" s="315" t="s">
        <v>1601</v>
      </c>
    </row>
    <row r="36" spans="1:6" ht="15" x14ac:dyDescent="0.2">
      <c r="A36" s="315" t="s">
        <v>1587</v>
      </c>
      <c r="B36" s="329">
        <v>49107.1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40" zoomScaleNormal="140" workbookViewId="0">
      <selection activeCell="F39" sqref="F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Milford School District SAU 40</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9586622.2600000016</v>
      </c>
      <c r="C9" s="229">
        <f>'DOE25'!G198+'DOE25'!G216+'DOE25'!G234+'DOE25'!G277+'DOE25'!G296+'DOE25'!G315</f>
        <v>5620939.6799999997</v>
      </c>
    </row>
    <row r="10" spans="1:3" x14ac:dyDescent="0.2">
      <c r="A10" t="s">
        <v>775</v>
      </c>
      <c r="B10" s="240">
        <f>9150118.75-0.02</f>
        <v>9150118.7300000004</v>
      </c>
      <c r="C10" s="240">
        <v>5330579.3499999996</v>
      </c>
    </row>
    <row r="11" spans="1:3" x14ac:dyDescent="0.2">
      <c r="A11" t="s">
        <v>776</v>
      </c>
      <c r="B11" s="240">
        <v>210595.34</v>
      </c>
      <c r="C11" s="240">
        <v>123478.69</v>
      </c>
    </row>
    <row r="12" spans="1:3" x14ac:dyDescent="0.2">
      <c r="A12" t="s">
        <v>777</v>
      </c>
      <c r="B12" s="240">
        <v>225908.19</v>
      </c>
      <c r="C12" s="240">
        <v>166881.64000000001</v>
      </c>
    </row>
    <row r="13" spans="1:3" x14ac:dyDescent="0.2">
      <c r="A13" t="str">
        <f>IF(B9=B13,IF(C9=C13,"Check Total OK","Check Total Error"),"Check Total Error")</f>
        <v>Check Total OK</v>
      </c>
      <c r="B13" s="231">
        <f>SUM(B10:B12)</f>
        <v>9586622.2599999998</v>
      </c>
      <c r="C13" s="231">
        <f>SUM(C10:C12)</f>
        <v>5620939.6799999997</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3435085.7399999998</v>
      </c>
      <c r="C18" s="229">
        <f>'DOE25'!G199+'DOE25'!G217+'DOE25'!G235+'DOE25'!G278+'DOE25'!G297+'DOE25'!G316</f>
        <v>2014093.0200000003</v>
      </c>
    </row>
    <row r="19" spans="1:3" x14ac:dyDescent="0.2">
      <c r="A19" t="s">
        <v>775</v>
      </c>
      <c r="B19" s="240">
        <v>1907842.89</v>
      </c>
      <c r="C19" s="240">
        <v>1118625.08</v>
      </c>
    </row>
    <row r="20" spans="1:3" x14ac:dyDescent="0.2">
      <c r="A20" t="s">
        <v>776</v>
      </c>
      <c r="B20" s="240">
        <v>1481503.35</v>
      </c>
      <c r="C20" s="240">
        <v>868649.51</v>
      </c>
    </row>
    <row r="21" spans="1:3" x14ac:dyDescent="0.2">
      <c r="A21" t="s">
        <v>777</v>
      </c>
      <c r="B21" s="240">
        <v>45739.5</v>
      </c>
      <c r="C21" s="240">
        <v>26818.43</v>
      </c>
    </row>
    <row r="22" spans="1:3" x14ac:dyDescent="0.2">
      <c r="A22" t="str">
        <f>IF(B18=B22,IF(C18=C22,"Check Total OK","Check Total Error"),"Check Total Error")</f>
        <v>Check Total OK</v>
      </c>
      <c r="B22" s="231">
        <f>SUM(B19:B21)</f>
        <v>3435085.74</v>
      </c>
      <c r="C22" s="231">
        <f>SUM(C19:C21)</f>
        <v>2014093.02</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878628.22</v>
      </c>
      <c r="C27" s="234">
        <f>'DOE25'!G200+'DOE25'!G218+'DOE25'!G236+'DOE25'!G279+'DOE25'!G298+'DOE25'!G317</f>
        <v>398002.74</v>
      </c>
    </row>
    <row r="28" spans="1:3" x14ac:dyDescent="0.2">
      <c r="A28" t="s">
        <v>775</v>
      </c>
      <c r="B28" s="240">
        <v>878628.22</v>
      </c>
      <c r="C28" s="240">
        <v>398002.74</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878628.22</v>
      </c>
      <c r="C31" s="231">
        <f>SUM(C28:C30)</f>
        <v>398002.74</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291763.01</v>
      </c>
      <c r="C36" s="235">
        <f>'DOE25'!G201+'DOE25'!G219+'DOE25'!G237+'DOE25'!G280+'DOE25'!G299+'DOE25'!G318</f>
        <v>25003.829999999998</v>
      </c>
    </row>
    <row r="37" spans="1:3" x14ac:dyDescent="0.2">
      <c r="A37" t="s">
        <v>775</v>
      </c>
      <c r="B37" s="240">
        <v>9135</v>
      </c>
      <c r="C37" s="240">
        <v>782.86</v>
      </c>
    </row>
    <row r="38" spans="1:3" x14ac:dyDescent="0.2">
      <c r="A38" t="s">
        <v>776</v>
      </c>
      <c r="B38" s="240">
        <v>6655.5</v>
      </c>
      <c r="C38" s="240">
        <v>570.37</v>
      </c>
    </row>
    <row r="39" spans="1:3" x14ac:dyDescent="0.2">
      <c r="A39" t="s">
        <v>777</v>
      </c>
      <c r="B39" s="240">
        <v>275972.51</v>
      </c>
      <c r="C39" s="240">
        <v>23650.6</v>
      </c>
    </row>
    <row r="40" spans="1:3" x14ac:dyDescent="0.2">
      <c r="A40" t="str">
        <f>IF(B36=B40,IF(C36=C40,"Check Total OK","Check Total Error"),"Check Total Error")</f>
        <v>Check Total OK</v>
      </c>
      <c r="B40" s="231">
        <f>SUM(B37:B39)</f>
        <v>291763.01</v>
      </c>
      <c r="C40" s="231">
        <f>SUM(C37:C39)</f>
        <v>25003.829999999998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5" activePane="bottomLeft" state="frozen"/>
      <selection activeCell="F46" sqref="F46"/>
      <selection pane="bottomLeft" activeCell="G39" sqref="G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Milford School District SAU 40</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23466737.029999997</v>
      </c>
      <c r="D5" s="20">
        <f>SUM('DOE25'!L198:L201)+SUM('DOE25'!L216:L219)+SUM('DOE25'!L234:L237)-F5-G5-H5</f>
        <v>23140972.239999998</v>
      </c>
      <c r="E5" s="243"/>
      <c r="F5" s="244"/>
      <c r="G5" s="53">
        <f>SUM('DOE25'!J198:J201)+SUM('DOE25'!J216:J219)+SUM('DOE25'!J234:J237)</f>
        <v>308174.61</v>
      </c>
      <c r="H5" s="53">
        <f>SUM('DOE25'!K198:K201)+SUM('DOE25'!K216:K219)+SUM('DOE25'!K234:K237)</f>
        <v>17590.18</v>
      </c>
      <c r="I5" s="254"/>
    </row>
    <row r="6" spans="1:9" x14ac:dyDescent="0.2">
      <c r="A6" s="32">
        <v>2100</v>
      </c>
      <c r="B6" t="s">
        <v>796</v>
      </c>
      <c r="C6" s="273">
        <f t="shared" si="0"/>
        <v>3497356.41</v>
      </c>
      <c r="D6" s="20">
        <f>'DOE25'!L203+'DOE25'!L221+'DOE25'!L239-F6-G6-H6</f>
        <v>3442307.6999999997</v>
      </c>
      <c r="E6" s="243"/>
      <c r="F6" s="244">
        <v>51464</v>
      </c>
      <c r="G6" s="53">
        <f>'DOE25'!J203+'DOE25'!J221+'DOE25'!J239</f>
        <v>3113.4700000000003</v>
      </c>
      <c r="H6" s="53">
        <f>'DOE25'!K203+'DOE25'!K221+'DOE25'!K239</f>
        <v>471.24</v>
      </c>
      <c r="I6" s="254"/>
    </row>
    <row r="7" spans="1:9" x14ac:dyDescent="0.2">
      <c r="A7" s="32">
        <v>2200</v>
      </c>
      <c r="B7" t="s">
        <v>821</v>
      </c>
      <c r="C7" s="273">
        <f t="shared" si="0"/>
        <v>756027.22</v>
      </c>
      <c r="D7" s="20">
        <f>'DOE25'!L204+'DOE25'!L222+'DOE25'!L240-F7-G7-H7</f>
        <v>748155.16999999993</v>
      </c>
      <c r="E7" s="243"/>
      <c r="F7" s="244"/>
      <c r="G7" s="53">
        <f>'DOE25'!J204+'DOE25'!J222+'DOE25'!J240</f>
        <v>7443.05</v>
      </c>
      <c r="H7" s="53">
        <f>'DOE25'!K204+'DOE25'!K222+'DOE25'!K240</f>
        <v>429</v>
      </c>
      <c r="I7" s="254"/>
    </row>
    <row r="8" spans="1:9" x14ac:dyDescent="0.2">
      <c r="A8" s="32">
        <v>2300</v>
      </c>
      <c r="B8" t="s">
        <v>797</v>
      </c>
      <c r="C8" s="273">
        <f t="shared" si="0"/>
        <v>1709137.97</v>
      </c>
      <c r="D8" s="243"/>
      <c r="E8" s="20">
        <f>'DOE25'!L205+'DOE25'!L223+'DOE25'!L241-F8-G8-H8-D9-D11</f>
        <v>1689000.52</v>
      </c>
      <c r="F8" s="244"/>
      <c r="G8" s="53">
        <f>'DOE25'!J205+'DOE25'!J223+'DOE25'!J241</f>
        <v>745.7</v>
      </c>
      <c r="H8" s="53">
        <f>'DOE25'!K205+'DOE25'!K223+'DOE25'!K241</f>
        <v>19391.75</v>
      </c>
      <c r="I8" s="254"/>
    </row>
    <row r="9" spans="1:9" ht="14.25" x14ac:dyDescent="0.2">
      <c r="A9" s="32">
        <v>2310</v>
      </c>
      <c r="B9" s="185" t="s">
        <v>888</v>
      </c>
      <c r="C9" s="273">
        <f t="shared" si="0"/>
        <v>205944.69</v>
      </c>
      <c r="D9" s="244">
        <v>205944.69</v>
      </c>
      <c r="E9" s="243"/>
      <c r="F9" s="251"/>
      <c r="G9" s="251"/>
      <c r="H9" s="251"/>
      <c r="I9" s="254"/>
    </row>
    <row r="10" spans="1:9" ht="14.25" x14ac:dyDescent="0.2">
      <c r="A10" s="32">
        <v>2317</v>
      </c>
      <c r="B10" s="185" t="s">
        <v>889</v>
      </c>
      <c r="C10" s="273">
        <f t="shared" si="0"/>
        <v>14000</v>
      </c>
      <c r="D10" s="243"/>
      <c r="E10" s="244">
        <v>14000</v>
      </c>
      <c r="F10" s="251"/>
      <c r="G10" s="251"/>
      <c r="H10" s="251"/>
      <c r="I10" s="254"/>
    </row>
    <row r="11" spans="1:9" ht="14.25" x14ac:dyDescent="0.2">
      <c r="A11" s="32">
        <v>2321</v>
      </c>
      <c r="B11" s="185" t="s">
        <v>890</v>
      </c>
      <c r="C11" s="273">
        <f t="shared" si="0"/>
        <v>470059.75</v>
      </c>
      <c r="D11" s="244">
        <v>470059.75</v>
      </c>
      <c r="E11" s="243"/>
      <c r="F11" s="251"/>
      <c r="G11" s="251"/>
      <c r="H11" s="251"/>
      <c r="I11" s="254"/>
    </row>
    <row r="12" spans="1:9" x14ac:dyDescent="0.2">
      <c r="A12" s="32">
        <v>2400</v>
      </c>
      <c r="B12" t="s">
        <v>711</v>
      </c>
      <c r="C12" s="273">
        <f t="shared" si="0"/>
        <v>2027200.3299999996</v>
      </c>
      <c r="D12" s="20">
        <f>'DOE25'!L206+'DOE25'!L224+'DOE25'!L242-F12-G12-H12</f>
        <v>1992826.6399999997</v>
      </c>
      <c r="E12" s="243"/>
      <c r="F12" s="244"/>
      <c r="G12" s="53">
        <f>'DOE25'!J206+'DOE25'!J224+'DOE25'!J242</f>
        <v>6708.78</v>
      </c>
      <c r="H12" s="53">
        <f>'DOE25'!K206+'DOE25'!K224+'DOE25'!K242</f>
        <v>27664.910000000003</v>
      </c>
      <c r="I12" s="254"/>
    </row>
    <row r="13" spans="1:9" x14ac:dyDescent="0.2">
      <c r="A13" s="32">
        <v>2500</v>
      </c>
      <c r="B13" t="s">
        <v>798</v>
      </c>
      <c r="C13" s="273">
        <f t="shared" si="0"/>
        <v>438665</v>
      </c>
      <c r="D13" s="243"/>
      <c r="E13" s="20">
        <f>'DOE25'!L207+'DOE25'!L225+'DOE25'!L243-F13-G13-H13</f>
        <v>437466</v>
      </c>
      <c r="F13" s="244"/>
      <c r="G13" s="53">
        <f>'DOE25'!J207+'DOE25'!J225+'DOE25'!J243</f>
        <v>0</v>
      </c>
      <c r="H13" s="53">
        <f>'DOE25'!K207+'DOE25'!K225+'DOE25'!K243</f>
        <v>1199</v>
      </c>
      <c r="I13" s="254"/>
    </row>
    <row r="14" spans="1:9" x14ac:dyDescent="0.2">
      <c r="A14" s="32">
        <v>2600</v>
      </c>
      <c r="B14" t="s">
        <v>819</v>
      </c>
      <c r="C14" s="273">
        <f t="shared" si="0"/>
        <v>3369044.66</v>
      </c>
      <c r="D14" s="20">
        <f>'DOE25'!L208+'DOE25'!L226+'DOE25'!L244-F14-G14-H14</f>
        <v>2953096.0300000003</v>
      </c>
      <c r="E14" s="243"/>
      <c r="F14" s="244">
        <v>160905</v>
      </c>
      <c r="G14" s="53">
        <f>'DOE25'!J208+'DOE25'!J226+'DOE25'!J244</f>
        <v>255043.63</v>
      </c>
      <c r="H14" s="53">
        <f>'DOE25'!K208+'DOE25'!K226+'DOE25'!K244</f>
        <v>0</v>
      </c>
      <c r="I14" s="254"/>
    </row>
    <row r="15" spans="1:9" x14ac:dyDescent="0.2">
      <c r="A15" s="32">
        <v>2700</v>
      </c>
      <c r="B15" t="s">
        <v>799</v>
      </c>
      <c r="C15" s="273">
        <f t="shared" si="0"/>
        <v>1105894.83</v>
      </c>
      <c r="D15" s="20">
        <f>'DOE25'!L209+'DOE25'!L227+'DOE25'!L245-F15-G15-H15</f>
        <v>52519.830000000075</v>
      </c>
      <c r="E15" s="243"/>
      <c r="F15" s="244">
        <v>1053375</v>
      </c>
      <c r="G15" s="53">
        <f>'DOE25'!J209+'DOE25'!J227+'DOE25'!J245</f>
        <v>0</v>
      </c>
      <c r="H15" s="53">
        <f>'DOE25'!K209+'DOE25'!K227+'DOE25'!K245</f>
        <v>0</v>
      </c>
      <c r="I15" s="254"/>
    </row>
    <row r="16" spans="1:9" x14ac:dyDescent="0.2">
      <c r="A16" s="32">
        <v>2800</v>
      </c>
      <c r="B16" t="s">
        <v>800</v>
      </c>
      <c r="C16" s="273">
        <f t="shared" si="0"/>
        <v>1329625.42</v>
      </c>
      <c r="D16" s="243"/>
      <c r="E16" s="20">
        <f>'DOE25'!L210+'DOE25'!L228+'DOE25'!L246-F16-G16-H16</f>
        <v>1165759.6299999999</v>
      </c>
      <c r="F16" s="244">
        <v>10995</v>
      </c>
      <c r="G16" s="53">
        <f>'DOE25'!J210+'DOE25'!J228+'DOE25'!J246</f>
        <v>152870.78999999998</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820864.99</v>
      </c>
      <c r="D25" s="243"/>
      <c r="E25" s="243"/>
      <c r="F25" s="253"/>
      <c r="G25" s="251"/>
      <c r="H25" s="251"/>
      <c r="I25" s="252">
        <f>'DOE25'!L261+'DOE25'!L262+'DOE25'!L342+'DOE25'!L343</f>
        <v>820864.99</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298524.13</v>
      </c>
      <c r="D29" s="281">
        <f>'DOE25'!L359+'DOE25'!L360+'DOE25'!L361-'DOE25'!I368-F29-G29-H29</f>
        <v>296229.37</v>
      </c>
      <c r="E29" s="243"/>
      <c r="F29" s="244"/>
      <c r="G29" s="53">
        <f>'DOE25'!J359+'DOE25'!J360+'DOE25'!J361</f>
        <v>0</v>
      </c>
      <c r="H29" s="53">
        <f>'DOE25'!K359+'DOE25'!K360+'DOE25'!K361</f>
        <v>2294.7600000000002</v>
      </c>
      <c r="I29" s="254"/>
    </row>
    <row r="30" spans="1:9" x14ac:dyDescent="0.2">
      <c r="A30" s="32"/>
      <c r="C30" s="274"/>
      <c r="D30" s="20"/>
      <c r="E30" s="278"/>
      <c r="F30" s="268"/>
      <c r="G30" s="53"/>
      <c r="H30" s="53"/>
      <c r="I30" s="254"/>
    </row>
    <row r="31" spans="1:9" x14ac:dyDescent="0.2">
      <c r="A31" s="32" t="s">
        <v>818</v>
      </c>
      <c r="B31" t="s">
        <v>817</v>
      </c>
      <c r="C31" s="273">
        <f>SUM(D31:I31)</f>
        <v>1808202.4299999997</v>
      </c>
      <c r="D31" s="20">
        <f>'DOE25'!L291+'DOE25'!L310+'DOE25'!L329+'DOE25'!L334+'DOE25'!L335+'DOE25'!L336-F31-G31-H31</f>
        <v>1534897.1699999997</v>
      </c>
      <c r="E31" s="243"/>
      <c r="F31" s="244"/>
      <c r="G31" s="53">
        <f>'DOE25'!J291+'DOE25'!J310+'DOE25'!J329+'DOE25'!J334+'DOE25'!J335+'DOE25'!J336</f>
        <v>269513.92</v>
      </c>
      <c r="H31" s="53">
        <f>'DOE25'!K291+'DOE25'!K310+'DOE25'!K329+'DOE25'!K334+'DOE25'!K335+'DOE25'!K336</f>
        <v>3791.34</v>
      </c>
      <c r="I31" s="254"/>
    </row>
    <row r="32" spans="1:9" ht="12" thickBot="1" x14ac:dyDescent="0.25">
      <c r="C32" s="274"/>
      <c r="G32" s="249"/>
      <c r="H32" s="249"/>
      <c r="I32" s="256"/>
    </row>
    <row r="33" spans="1:9" ht="12" thickTop="1" x14ac:dyDescent="0.2">
      <c r="B33" t="s">
        <v>809</v>
      </c>
      <c r="D33" s="245">
        <f t="shared" ref="D33:I33" si="1">SUM(D5:D31)</f>
        <v>34837008.590000004</v>
      </c>
      <c r="E33" s="245">
        <f t="shared" si="1"/>
        <v>3306226.15</v>
      </c>
      <c r="F33" s="245">
        <f t="shared" si="1"/>
        <v>1276739</v>
      </c>
      <c r="G33" s="245">
        <f t="shared" si="1"/>
        <v>1003613.95</v>
      </c>
      <c r="H33" s="245">
        <f t="shared" si="1"/>
        <v>72832.179999999993</v>
      </c>
      <c r="I33" s="245">
        <f t="shared" si="1"/>
        <v>820864.99</v>
      </c>
    </row>
    <row r="35" spans="1:9" ht="12" thickBot="1" x14ac:dyDescent="0.25">
      <c r="B35" s="249" t="s">
        <v>831</v>
      </c>
      <c r="D35" s="250">
        <f>E33</f>
        <v>3306226.15</v>
      </c>
      <c r="E35" s="246"/>
      <c r="F35" s="333" t="s">
        <v>1632</v>
      </c>
      <c r="G35" s="334"/>
      <c r="H35" s="334"/>
      <c r="I35" s="334"/>
    </row>
    <row r="36" spans="1:9" ht="12" thickTop="1" x14ac:dyDescent="0.2">
      <c r="B36" t="s">
        <v>810</v>
      </c>
      <c r="D36" s="20">
        <f>D33</f>
        <v>34837008.590000004</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140" zoomScaleNormal="140" workbookViewId="0">
      <selection activeCell="E38" sqref="E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Milford School District SAU 40</v>
      </c>
      <c r="B2" s="126">
        <f>'DOE25'!B2</f>
        <v>357</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15853454.93</v>
      </c>
      <c r="G4" s="300">
        <f>'DOE25'!L212+'DOE25'!L291</f>
        <v>15853454.93</v>
      </c>
      <c r="H4" s="353">
        <f>F4-G4</f>
        <v>0</v>
      </c>
      <c r="I4" s="371" t="str">
        <f>IF(H4=0,"","ISSUES!! Please review page 7 and 11 totals in comparison with total on this page")</f>
        <v/>
      </c>
      <c r="N4"/>
    </row>
    <row r="5" spans="1:18" x14ac:dyDescent="0.2">
      <c r="A5" s="21" t="s">
        <v>1269</v>
      </c>
      <c r="B5" s="301">
        <f>IFERROR(VLOOKUP(A5,'School Tables'!$C$3:$D$365,2,FALSE),"")</f>
        <v>26580</v>
      </c>
      <c r="C5" s="294" t="str">
        <f>IFERROR(INDEX('School Tables'!$B$3:$B$365,MATCH('School Level Expenditures'!B5,'School Tables'!$D$3:$D$365,0)),"")</f>
        <v>Milford</v>
      </c>
      <c r="D5" s="291">
        <v>4983323.45</v>
      </c>
      <c r="E5" s="291">
        <v>183875.69</v>
      </c>
      <c r="F5" s="304">
        <f>D5+E5</f>
        <v>5167199.1400000006</v>
      </c>
      <c r="G5" s="294"/>
      <c r="H5" s="294"/>
      <c r="I5" s="372"/>
      <c r="N5"/>
    </row>
    <row r="6" spans="1:18" x14ac:dyDescent="0.2">
      <c r="A6" s="21" t="s">
        <v>1268</v>
      </c>
      <c r="B6" s="301">
        <f>IFERROR(VLOOKUP(A6,'School Tables'!$C$3:$D$365,2,FALSE),"")</f>
        <v>27895</v>
      </c>
      <c r="C6" s="294" t="str">
        <f>IFERROR(INDEX('School Tables'!$B$3:$B$365,MATCH('School Level Expenditures'!B6,'School Tables'!$D$3:$D$365,0)),"")</f>
        <v>Milford</v>
      </c>
      <c r="D6" s="291">
        <v>10117656.689999999</v>
      </c>
      <c r="E6" s="291">
        <v>373323.36</v>
      </c>
      <c r="F6" s="304">
        <f t="shared" ref="F6:F20" si="0">D6+E6</f>
        <v>10490980.049999999</v>
      </c>
      <c r="G6" s="294"/>
      <c r="H6" s="294"/>
      <c r="I6" s="372"/>
      <c r="N6"/>
    </row>
    <row r="7" spans="1:18" x14ac:dyDescent="0.2">
      <c r="A7" s="21" t="s">
        <v>1555</v>
      </c>
      <c r="B7" s="301">
        <f>IFERROR(VLOOKUP(A7,'School Tables'!$C$3:$D$365,2,FALSE),"")</f>
        <v>99999</v>
      </c>
      <c r="C7" s="294" t="str">
        <f>IFERROR(INDEX('School Tables'!$B$3:$B$365,MATCH('School Level Expenditures'!B7,'School Tables'!$D$3:$D$365,0)),"")</f>
        <v>Other District Expenditures</v>
      </c>
      <c r="D7" s="291">
        <v>195275.74</v>
      </c>
      <c r="E7" s="291"/>
      <c r="F7" s="304">
        <f t="shared" si="0"/>
        <v>195275.74</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15296255.880000001</v>
      </c>
      <c r="E21" s="351">
        <f>SUM(E5:E20)</f>
        <v>557199.05000000005</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9573024.1399999987</v>
      </c>
      <c r="G24" s="300">
        <f>'DOE25'!L230+'DOE25'!L310</f>
        <v>9573024.1400000006</v>
      </c>
      <c r="H24" s="353">
        <f>F24-G24</f>
        <v>0</v>
      </c>
      <c r="I24" s="371" t="str">
        <f>IF(H24=0,"","ISSUES!! Please review page 8 and 12 totals in comparison with total on this page")</f>
        <v/>
      </c>
      <c r="N24"/>
    </row>
    <row r="25" spans="1:14" x14ac:dyDescent="0.2">
      <c r="A25" s="21" t="s">
        <v>1266</v>
      </c>
      <c r="B25" s="301">
        <f>IFERROR(VLOOKUP(A25,'School Tables'!$I$3:$J$80,2,FALSE),"")</f>
        <v>21760</v>
      </c>
      <c r="C25" s="294" t="str">
        <f t="array" ref="C25">IFERROR(INDEX('School Tables'!$H$3:$H$80,MATCH('School Level Expenditures'!B25,'School Tables'!$J$3:$J$80,0)),"")</f>
        <v>Milford</v>
      </c>
      <c r="D25" s="291">
        <v>9337641.0299999993</v>
      </c>
      <c r="E25" s="291">
        <v>211432.62</v>
      </c>
      <c r="F25" s="304">
        <f>D25+E25</f>
        <v>9549073.6499999985</v>
      </c>
      <c r="G25" s="294"/>
      <c r="H25" s="294"/>
      <c r="I25" s="372"/>
      <c r="N25"/>
    </row>
    <row r="26" spans="1:14" x14ac:dyDescent="0.2">
      <c r="A26" s="21" t="s">
        <v>1555</v>
      </c>
      <c r="B26" s="301">
        <f>IFERROR(VLOOKUP(A26,'School Tables'!$I$3:$J$80,2,FALSE),"")</f>
        <v>99999</v>
      </c>
      <c r="C26" s="294" t="str">
        <f t="array" ref="C26">IFERROR(INDEX('School Tables'!$H$3:$H$80,MATCH('School Level Expenditures'!B26,'School Tables'!$J$3:$J$80,0)),"")</f>
        <v>Other District Expenditures</v>
      </c>
      <c r="D26" s="291">
        <v>23950.49</v>
      </c>
      <c r="E26" s="291"/>
      <c r="F26" s="304">
        <f t="shared" ref="F26:F32" si="1">D26+E26</f>
        <v>23950.49</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9361591.5199999996</v>
      </c>
      <c r="E33" s="351">
        <f>SUM(E25:E32)</f>
        <v>211432.62</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14757416.67</v>
      </c>
      <c r="G36" s="300">
        <f>'DOE25'!L248+'DOE25'!L329</f>
        <v>14757416.67</v>
      </c>
      <c r="H36" s="353">
        <f>F36-G36</f>
        <v>0</v>
      </c>
      <c r="I36" s="371" t="str">
        <f>IF(H36=0,"","ISSUES!! Please review page 9 and 13 totals in comparison with total on this page")</f>
        <v/>
      </c>
      <c r="N36"/>
    </row>
    <row r="37" spans="1:14" x14ac:dyDescent="0.2">
      <c r="A37" s="21" t="s">
        <v>1267</v>
      </c>
      <c r="B37" s="301">
        <f>IFERROR(VLOOKUP(A37,'School Tables'!$O$3:$P$118,2,FALSE),"")</f>
        <v>21765</v>
      </c>
      <c r="C37" s="294" t="str">
        <f t="array" ref="C37">IFERROR(INDEX('School Tables'!$N$3:$N$118,MATCH('School Level Expenditures'!B37,'School Tables'!$P$3:$P$118,0)),"")</f>
        <v>Milford</v>
      </c>
      <c r="D37" s="291">
        <v>13749586.27</v>
      </c>
      <c r="E37" s="291">
        <v>356135.43</v>
      </c>
      <c r="F37" s="304">
        <f t="shared" ref="F37:F42" si="2">D37+E37</f>
        <v>14105721.699999999</v>
      </c>
      <c r="G37" s="294"/>
      <c r="H37" s="294"/>
      <c r="I37" s="372"/>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v>651694.97</v>
      </c>
      <c r="E38" s="291"/>
      <c r="F38" s="304">
        <f t="shared" si="2"/>
        <v>651694.97</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14401281.24</v>
      </c>
      <c r="E43" s="352">
        <f>SUM(E37:E42)</f>
        <v>356135.43</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0" zoomScaleNormal="120" workbookViewId="0">
      <pane ySplit="2" topLeftCell="A3" activePane="bottomLeft" state="frozen"/>
      <selection activeCell="F46" sqref="F46"/>
      <selection pane="bottomLeft" activeCell="C139" sqref="C139"/>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Milford School District SAU 40</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2815102.9</v>
      </c>
      <c r="D8" s="95">
        <f>'DOE25'!G9</f>
        <v>365</v>
      </c>
      <c r="E8" s="95">
        <f>'DOE25'!H9</f>
        <v>262246.65999999997</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375739.05</v>
      </c>
      <c r="D11" s="95">
        <f>'DOE25'!G12</f>
        <v>0</v>
      </c>
      <c r="E11" s="95">
        <f>'DOE25'!H12</f>
        <v>55297.960000000006</v>
      </c>
      <c r="F11" s="95">
        <f>'DOE25'!I12</f>
        <v>0</v>
      </c>
      <c r="G11" s="95">
        <f>'DOE25'!J12</f>
        <v>0</v>
      </c>
      <c r="H11" s="124"/>
      <c r="I11" s="124"/>
    </row>
    <row r="12" spans="1:9" x14ac:dyDescent="0.2">
      <c r="A12" s="1" t="s">
        <v>143</v>
      </c>
      <c r="B12" s="6">
        <v>140</v>
      </c>
      <c r="C12" s="95">
        <f>'DOE25'!F13</f>
        <v>47919.86</v>
      </c>
      <c r="D12" s="95">
        <f>'DOE25'!G13</f>
        <v>103514.32</v>
      </c>
      <c r="E12" s="95">
        <f>'DOE25'!H13</f>
        <v>310114.36</v>
      </c>
      <c r="F12" s="95">
        <f>'DOE25'!I13</f>
        <v>0</v>
      </c>
      <c r="G12" s="95">
        <f>'DOE25'!J13</f>
        <v>767970.24</v>
      </c>
      <c r="H12" s="124"/>
      <c r="I12" s="124"/>
    </row>
    <row r="13" spans="1:9" x14ac:dyDescent="0.2">
      <c r="A13" s="1" t="s">
        <v>144</v>
      </c>
      <c r="B13" s="6">
        <v>150</v>
      </c>
      <c r="C13" s="95">
        <f>'DOE25'!F14</f>
        <v>200</v>
      </c>
      <c r="D13" s="95">
        <f>'DOE25'!G14</f>
        <v>0</v>
      </c>
      <c r="E13" s="95">
        <f>'DOE25'!H14</f>
        <v>5600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32753.13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3271714.9399999995</v>
      </c>
      <c r="D18" s="41">
        <f>SUM(D8:D17)</f>
        <v>103879.32</v>
      </c>
      <c r="E18" s="41">
        <f>SUM(E8:E17)</f>
        <v>633258.98</v>
      </c>
      <c r="F18" s="41">
        <f>SUM(F8:F17)</f>
        <v>0</v>
      </c>
      <c r="G18" s="41">
        <f>SUM(G8:G17)</f>
        <v>767970.24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55297.96</v>
      </c>
      <c r="D21" s="95">
        <f>'DOE25'!G22</f>
        <v>65624.69</v>
      </c>
      <c r="E21" s="95">
        <f>'DOE25'!H22</f>
        <v>310114.36</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241298.66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386650.13</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38254.629999999997</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683246.75</v>
      </c>
      <c r="D31" s="41">
        <f>SUM(D21:D30)</f>
        <v>103879.32</v>
      </c>
      <c r="E31" s="41">
        <f>SUM(E21:E30)</f>
        <v>310114.36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32753.13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522153.79</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18103.05</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227713.4</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323144.62</v>
      </c>
      <c r="F47" s="95">
        <f>'DOE25'!I48</f>
        <v>0</v>
      </c>
      <c r="G47" s="95">
        <f>'DOE25'!J48</f>
        <v>0</v>
      </c>
      <c r="H47" s="124"/>
      <c r="I47" s="124"/>
    </row>
    <row r="48" spans="1:9" x14ac:dyDescent="0.2">
      <c r="A48" s="1" t="s">
        <v>882</v>
      </c>
      <c r="B48" s="6">
        <v>753</v>
      </c>
      <c r="C48" s="95">
        <f>'DOE25'!F49</f>
        <v>572109</v>
      </c>
      <c r="D48" s="95">
        <f>'DOE25'!G49</f>
        <v>0</v>
      </c>
      <c r="E48" s="95">
        <f>'DOE25'!H49</f>
        <v>0</v>
      </c>
      <c r="F48" s="95">
        <f>'DOE25'!I49</f>
        <v>0</v>
      </c>
      <c r="G48" s="95">
        <f>'DOE25'!J49</f>
        <v>0</v>
      </c>
      <c r="H48" s="124"/>
      <c r="I48" s="124"/>
    </row>
    <row r="49" spans="1:9" ht="12" thickBot="1" x14ac:dyDescent="0.25">
      <c r="A49" s="29" t="s">
        <v>883</v>
      </c>
      <c r="B49" s="71">
        <v>770</v>
      </c>
      <c r="C49" s="95">
        <f>'DOE25'!F50</f>
        <v>1983606.06</v>
      </c>
      <c r="D49" s="24" t="s">
        <v>288</v>
      </c>
      <c r="E49" s="24" t="s">
        <v>288</v>
      </c>
      <c r="F49" s="24" t="s">
        <v>288</v>
      </c>
      <c r="G49" s="24" t="s">
        <v>288</v>
      </c>
      <c r="H49" s="124"/>
      <c r="I49" s="124"/>
    </row>
    <row r="50" spans="1:9" ht="12.75" thickTop="1" thickBot="1" x14ac:dyDescent="0.25">
      <c r="A50" s="38" t="s">
        <v>884</v>
      </c>
      <c r="B50" s="48"/>
      <c r="C50" s="41">
        <f>SUM(C34:C49)</f>
        <v>2588468.19</v>
      </c>
      <c r="D50" s="41">
        <f>SUM(D34:D49)</f>
        <v>0</v>
      </c>
      <c r="E50" s="41">
        <f>SUM(E34:E49)</f>
        <v>323144.62</v>
      </c>
      <c r="F50" s="41">
        <f>SUM(F34:F49)</f>
        <v>0</v>
      </c>
      <c r="G50" s="41">
        <f>SUM(G34:G49)</f>
        <v>767970.24</v>
      </c>
      <c r="H50" s="124"/>
      <c r="I50" s="124"/>
    </row>
    <row r="51" spans="1:9" ht="12" thickTop="1" x14ac:dyDescent="0.2">
      <c r="A51" s="38" t="s">
        <v>885</v>
      </c>
      <c r="B51" s="2"/>
      <c r="C51" s="41">
        <f>C50+C31</f>
        <v>3271714.94</v>
      </c>
      <c r="D51" s="41">
        <f>D50+D31</f>
        <v>103879.32</v>
      </c>
      <c r="E51" s="41">
        <f>E50+E31</f>
        <v>633258.98</v>
      </c>
      <c r="F51" s="41">
        <f>F50+F31</f>
        <v>0</v>
      </c>
      <c r="G51" s="41">
        <f>G50+G31</f>
        <v>767970.24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27427965</v>
      </c>
      <c r="D56" s="95">
        <f>'DOE25'!G60</f>
        <v>0</v>
      </c>
      <c r="E56" s="95">
        <f>'DOE25'!H60</f>
        <v>0</v>
      </c>
      <c r="F56" s="95">
        <f>'DOE25'!I60</f>
        <v>0</v>
      </c>
      <c r="G56" s="95">
        <f>'DOE25'!J60</f>
        <v>0</v>
      </c>
      <c r="H56"/>
      <c r="I56"/>
    </row>
    <row r="57" spans="1:9" x14ac:dyDescent="0.2">
      <c r="A57" s="1" t="s">
        <v>164</v>
      </c>
      <c r="B57" s="6" t="s">
        <v>165</v>
      </c>
      <c r="C57" s="95">
        <f>'DOE25'!F79</f>
        <v>1012240.37</v>
      </c>
      <c r="D57" s="24" t="s">
        <v>288</v>
      </c>
      <c r="E57" s="95">
        <f>'DOE25'!H79</f>
        <v>77373.25</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8367.52</v>
      </c>
      <c r="D59" s="95">
        <f>'DOE25'!G96</f>
        <v>0</v>
      </c>
      <c r="E59" s="95">
        <f>'DOE25'!H96</f>
        <v>0</v>
      </c>
      <c r="F59" s="95">
        <f>'DOE25'!I96</f>
        <v>0</v>
      </c>
      <c r="G59" s="95">
        <f>'DOE25'!J96</f>
        <v>55629.33</v>
      </c>
      <c r="H59"/>
      <c r="I59"/>
    </row>
    <row r="60" spans="1:9" x14ac:dyDescent="0.2">
      <c r="A60" s="1" t="s">
        <v>170</v>
      </c>
      <c r="B60" s="118" t="s">
        <v>171</v>
      </c>
      <c r="C60" s="24" t="s">
        <v>288</v>
      </c>
      <c r="D60" s="95">
        <f>'DOE25'!G97</f>
        <v>23036.41</v>
      </c>
      <c r="E60" s="24" t="s">
        <v>288</v>
      </c>
      <c r="F60" s="24" t="s">
        <v>288</v>
      </c>
      <c r="G60" s="24" t="s">
        <v>288</v>
      </c>
      <c r="H60"/>
      <c r="I60"/>
    </row>
    <row r="61" spans="1:9" ht="12" thickBot="1" x14ac:dyDescent="0.25">
      <c r="A61" s="1" t="s">
        <v>172</v>
      </c>
      <c r="B61" s="118" t="s">
        <v>173</v>
      </c>
      <c r="C61" s="95">
        <f>SUM('DOE25'!F98:F110)</f>
        <v>15957.16</v>
      </c>
      <c r="D61" s="95">
        <f>SUM('DOE25'!G98:G110)</f>
        <v>0</v>
      </c>
      <c r="E61" s="95">
        <f>SUM('DOE25'!H98:H110)</f>
        <v>166756.10999999999</v>
      </c>
      <c r="F61" s="95">
        <f>SUM('DOE25'!I98:I110)</f>
        <v>0</v>
      </c>
      <c r="G61" s="95">
        <f>SUM('DOE25'!J98:J110)</f>
        <v>0</v>
      </c>
      <c r="H61"/>
      <c r="I61"/>
    </row>
    <row r="62" spans="1:9" ht="12.75" thickTop="1" thickBot="1" x14ac:dyDescent="0.25">
      <c r="A62" s="29" t="s">
        <v>174</v>
      </c>
      <c r="B62" s="6"/>
      <c r="C62" s="130">
        <f>SUM(C57:C61)</f>
        <v>1036565.05</v>
      </c>
      <c r="D62" s="130">
        <f>SUM(D57:D61)</f>
        <v>23036.41</v>
      </c>
      <c r="E62" s="130">
        <f>SUM(E57:E61)</f>
        <v>244129.36</v>
      </c>
      <c r="F62" s="130">
        <f>SUM(F57:F61)</f>
        <v>0</v>
      </c>
      <c r="G62" s="130">
        <f>SUM(G57:G61)</f>
        <v>55629.33</v>
      </c>
      <c r="H62"/>
      <c r="I62"/>
    </row>
    <row r="63" spans="1:9" ht="12" thickTop="1" x14ac:dyDescent="0.2">
      <c r="A63" s="29" t="s">
        <v>175</v>
      </c>
      <c r="B63" s="6"/>
      <c r="C63" s="22">
        <f>C56+C62</f>
        <v>28464530.050000001</v>
      </c>
      <c r="D63" s="22">
        <f>D56+D62</f>
        <v>23036.41</v>
      </c>
      <c r="E63" s="22">
        <f>E56+E62</f>
        <v>244129.36</v>
      </c>
      <c r="F63" s="22">
        <f>F56+F62</f>
        <v>0</v>
      </c>
      <c r="G63" s="22">
        <f>G56+G62</f>
        <v>55629.33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9091963.9199999999</v>
      </c>
      <c r="D66" s="24" t="s">
        <v>288</v>
      </c>
      <c r="E66" s="24" t="s">
        <v>288</v>
      </c>
      <c r="F66" s="24" t="s">
        <v>288</v>
      </c>
      <c r="G66" s="24" t="s">
        <v>288</v>
      </c>
      <c r="H66"/>
      <c r="I66"/>
    </row>
    <row r="67" spans="1:9" x14ac:dyDescent="0.2">
      <c r="A67" s="1" t="s">
        <v>770</v>
      </c>
      <c r="B67" s="6">
        <v>3112</v>
      </c>
      <c r="C67" s="95">
        <f>'DOE25'!F118</f>
        <v>3128065</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1125.7</v>
      </c>
      <c r="D69" s="95">
        <f>'DOE25'!G120</f>
        <v>0</v>
      </c>
      <c r="E69" s="95">
        <f>'DOE25'!H120</f>
        <v>0</v>
      </c>
      <c r="F69" s="95">
        <f>'DOE25'!I120</f>
        <v>0</v>
      </c>
      <c r="G69" s="95">
        <f>'DOE25'!J120</f>
        <v>0</v>
      </c>
      <c r="H69"/>
      <c r="I69"/>
    </row>
    <row r="70" spans="1:9" ht="12" thickTop="1" x14ac:dyDescent="0.2">
      <c r="A70" s="29" t="s">
        <v>252</v>
      </c>
      <c r="B70" s="2"/>
      <c r="C70" s="139">
        <f>SUM(C66:C69)</f>
        <v>12221154.619999999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239364.94</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301576.48</v>
      </c>
      <c r="D75" s="24" t="s">
        <v>288</v>
      </c>
      <c r="E75" s="24" t="s">
        <v>288</v>
      </c>
      <c r="F75" s="24" t="s">
        <v>288</v>
      </c>
      <c r="G75" s="24" t="s">
        <v>288</v>
      </c>
      <c r="H75"/>
      <c r="I75"/>
    </row>
    <row r="76" spans="1:9" x14ac:dyDescent="0.2">
      <c r="A76" s="1" t="s">
        <v>257</v>
      </c>
      <c r="B76" s="6" t="s">
        <v>179</v>
      </c>
      <c r="C76" s="95">
        <f>SUM('DOE25'!F127:F130)</f>
        <v>70056.679999999993</v>
      </c>
      <c r="D76" s="24" t="s">
        <v>288</v>
      </c>
      <c r="E76" s="95">
        <f>SUM('DOE25'!H127:H130)</f>
        <v>38820.01</v>
      </c>
      <c r="F76" s="95">
        <f>SUM('DOE25'!I127:I130)</f>
        <v>0</v>
      </c>
      <c r="G76" s="24" t="s">
        <v>288</v>
      </c>
      <c r="H76"/>
      <c r="I76"/>
    </row>
    <row r="77" spans="1:9" ht="12" thickBot="1" x14ac:dyDescent="0.25">
      <c r="A77" s="1" t="s">
        <v>258</v>
      </c>
      <c r="B77" s="6" t="s">
        <v>180</v>
      </c>
      <c r="C77" s="95">
        <f>SUM('DOE25'!F131:F135)</f>
        <v>0</v>
      </c>
      <c r="D77" s="95">
        <f>SUM('DOE25'!G131:G135)</f>
        <v>8618.77</v>
      </c>
      <c r="E77" s="95">
        <f>SUM('DOE25'!H131:H135)</f>
        <v>0</v>
      </c>
      <c r="F77" s="95">
        <f>SUM('DOE25'!I131:I135)</f>
        <v>0</v>
      </c>
      <c r="G77" s="95">
        <f>SUM('DOE25'!J131:J135)</f>
        <v>0</v>
      </c>
      <c r="H77"/>
      <c r="I77"/>
    </row>
    <row r="78" spans="1:9" ht="12.75" thickTop="1" thickBot="1" x14ac:dyDescent="0.25">
      <c r="A78" s="29" t="s">
        <v>259</v>
      </c>
      <c r="B78" s="6"/>
      <c r="C78" s="130">
        <f>SUM(C72:C77)</f>
        <v>610998.09999999986</v>
      </c>
      <c r="D78" s="130">
        <f>SUM(D72:D77)</f>
        <v>8618.77</v>
      </c>
      <c r="E78" s="130">
        <f>SUM(E72:E77)</f>
        <v>38820.01</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12832152.719999999</v>
      </c>
      <c r="D81" s="130">
        <f>SUM(D79:D80)+D78+D70</f>
        <v>8618.77</v>
      </c>
      <c r="E81" s="130">
        <f>SUM(E79:E80)+E78+E70</f>
        <v>38820.01</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0</v>
      </c>
      <c r="D88" s="331">
        <f>SUM('DOE25'!G153:G162)</f>
        <v>262005.33000000002</v>
      </c>
      <c r="E88" s="331">
        <f>SUM('DOE25'!H153:H162)</f>
        <v>1506859.08</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0</v>
      </c>
      <c r="D91" s="131">
        <f>SUM(D85:D90)</f>
        <v>262005.33000000002</v>
      </c>
      <c r="E91" s="131">
        <f>SUM(E85:E90)</f>
        <v>1506859.08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61273.97</v>
      </c>
      <c r="E96" s="95">
        <f>'DOE25'!H180</f>
        <v>0</v>
      </c>
      <c r="F96" s="95">
        <f>'DOE25'!I180</f>
        <v>0</v>
      </c>
      <c r="G96" s="95">
        <f>'DOE25'!J180</f>
        <v>600000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35000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35000</v>
      </c>
      <c r="D103" s="86">
        <f>SUM(D93:D102)</f>
        <v>61273.97</v>
      </c>
      <c r="E103" s="86">
        <f>SUM(E93:E102)</f>
        <v>0</v>
      </c>
      <c r="F103" s="86">
        <f>SUM(F93:F102)</f>
        <v>0</v>
      </c>
      <c r="G103" s="86">
        <f>SUM(G93:G102)</f>
        <v>600000</v>
      </c>
    </row>
    <row r="104" spans="1:7" ht="12.75" thickTop="1" thickBot="1" x14ac:dyDescent="0.25">
      <c r="A104" s="33" t="s">
        <v>761</v>
      </c>
      <c r="C104" s="86">
        <f>C63+C81+C91+C103</f>
        <v>41331682.769999996</v>
      </c>
      <c r="D104" s="86">
        <f>D63+D81+D91+D103</f>
        <v>354934.48</v>
      </c>
      <c r="E104" s="86">
        <f>E63+E81+E91+E103</f>
        <v>1789808.4500000002</v>
      </c>
      <c r="F104" s="86">
        <f>F63+F81+F91+F103</f>
        <v>0</v>
      </c>
      <c r="G104" s="86">
        <f>G63+G81+G103</f>
        <v>655629.32999999996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15424814.939999999</v>
      </c>
      <c r="D109" s="24" t="s">
        <v>288</v>
      </c>
      <c r="E109" s="95">
        <f>('DOE25'!L277)+('DOE25'!L296)+('DOE25'!L315)</f>
        <v>244971.06</v>
      </c>
      <c r="F109" s="24" t="s">
        <v>288</v>
      </c>
      <c r="G109" s="24" t="s">
        <v>288</v>
      </c>
    </row>
    <row r="110" spans="1:7" x14ac:dyDescent="0.2">
      <c r="A110" t="s">
        <v>198</v>
      </c>
      <c r="B110" s="32" t="s">
        <v>199</v>
      </c>
      <c r="C110" s="95">
        <f>('DOE25'!L199)+('DOE25'!L217)+('DOE25'!L235)</f>
        <v>6184642.0499999989</v>
      </c>
      <c r="D110" s="24" t="s">
        <v>288</v>
      </c>
      <c r="E110" s="95">
        <f>('DOE25'!L278)+('DOE25'!L297)+('DOE25'!L316)</f>
        <v>472077.91000000003</v>
      </c>
      <c r="F110" s="24" t="s">
        <v>288</v>
      </c>
      <c r="G110" s="24" t="s">
        <v>288</v>
      </c>
    </row>
    <row r="111" spans="1:7" x14ac:dyDescent="0.2">
      <c r="A111" t="s">
        <v>200</v>
      </c>
      <c r="B111" s="32" t="s">
        <v>165</v>
      </c>
      <c r="C111" s="95">
        <f>('DOE25'!L200)+('DOE25'!L218)+('DOE25'!L236)</f>
        <v>1467324.68</v>
      </c>
      <c r="D111" s="24" t="s">
        <v>288</v>
      </c>
      <c r="E111" s="95">
        <f>('DOE25'!L279)+('DOE25'!L298)+('DOE25'!L317)</f>
        <v>123489.47999999998</v>
      </c>
      <c r="F111" s="24" t="s">
        <v>288</v>
      </c>
      <c r="G111" s="24" t="s">
        <v>288</v>
      </c>
    </row>
    <row r="112" spans="1:7" x14ac:dyDescent="0.2">
      <c r="A112" t="s">
        <v>201</v>
      </c>
      <c r="B112" s="32" t="s">
        <v>167</v>
      </c>
      <c r="C112" s="95">
        <f>('DOE25'!L201)+('DOE25'!L219)+('DOE25'!L237)</f>
        <v>389955.36</v>
      </c>
      <c r="D112" s="24" t="s">
        <v>288</v>
      </c>
      <c r="E112" s="95">
        <f>+('DOE25'!L280)+('DOE25'!L299)+('DOE25'!L318)</f>
        <v>158045.83000000002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23466737.029999997</v>
      </c>
      <c r="D115" s="86">
        <f>SUM(D109:D114)</f>
        <v>0</v>
      </c>
      <c r="E115" s="86">
        <f>SUM(E109:E114)</f>
        <v>998584.28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3497356.41</v>
      </c>
      <c r="D118" s="24" t="s">
        <v>288</v>
      </c>
      <c r="E118" s="95">
        <f>+('DOE25'!L282)+('DOE25'!L301)+('DOE25'!L320)</f>
        <v>9216.3799999999992</v>
      </c>
      <c r="F118" s="24" t="s">
        <v>288</v>
      </c>
      <c r="G118" s="24" t="s">
        <v>288</v>
      </c>
    </row>
    <row r="119" spans="1:7" x14ac:dyDescent="0.2">
      <c r="A119" t="s">
        <v>208</v>
      </c>
      <c r="B119" s="32" t="s">
        <v>209</v>
      </c>
      <c r="C119" s="95">
        <f>('DOE25'!L204)+('DOE25'!L222)+('DOE25'!L240)</f>
        <v>756027.22</v>
      </c>
      <c r="D119" s="24" t="s">
        <v>288</v>
      </c>
      <c r="E119" s="95">
        <f>+('DOE25'!L283)+('DOE25'!L302)+('DOE25'!L321)</f>
        <v>111575.19</v>
      </c>
      <c r="F119" s="24" t="s">
        <v>288</v>
      </c>
      <c r="G119" s="24" t="s">
        <v>288</v>
      </c>
    </row>
    <row r="120" spans="1:7" x14ac:dyDescent="0.2">
      <c r="A120" t="s">
        <v>210</v>
      </c>
      <c r="B120" s="32" t="s">
        <v>211</v>
      </c>
      <c r="C120" s="95">
        <f>('DOE25'!L205)+('DOE25'!L223)+('DOE25'!L241)</f>
        <v>2385142.41</v>
      </c>
      <c r="D120" s="24" t="s">
        <v>288</v>
      </c>
      <c r="E120" s="95">
        <f>+('DOE25'!L284)+('DOE25'!L303)+('DOE25'!L322)</f>
        <v>593071.72</v>
      </c>
      <c r="F120" s="24" t="s">
        <v>288</v>
      </c>
      <c r="G120" s="24" t="s">
        <v>288</v>
      </c>
    </row>
    <row r="121" spans="1:7" x14ac:dyDescent="0.2">
      <c r="A121" t="s">
        <v>212</v>
      </c>
      <c r="B121" s="32" t="s">
        <v>213</v>
      </c>
      <c r="C121" s="95">
        <f>('DOE25'!L206)+('DOE25'!L224)+('DOE25'!L242)</f>
        <v>2027200.3299999996</v>
      </c>
      <c r="D121" s="24" t="s">
        <v>288</v>
      </c>
      <c r="E121" s="95">
        <f>+('DOE25'!L285)+('DOE25'!L304)+('DOE25'!L323)</f>
        <v>4200</v>
      </c>
      <c r="F121" s="24" t="s">
        <v>288</v>
      </c>
      <c r="G121" s="24" t="s">
        <v>288</v>
      </c>
    </row>
    <row r="122" spans="1:7" x14ac:dyDescent="0.2">
      <c r="A122" t="s">
        <v>214</v>
      </c>
      <c r="B122" s="32" t="s">
        <v>215</v>
      </c>
      <c r="C122" s="95">
        <f>('DOE25'!L207)+('DOE25'!L225)+('DOE25'!L243)</f>
        <v>438665</v>
      </c>
      <c r="D122" s="24" t="s">
        <v>288</v>
      </c>
      <c r="E122" s="95">
        <f>+('DOE25'!L286)+('DOE25'!L305)+('DOE25'!L324)</f>
        <v>0</v>
      </c>
      <c r="F122" s="24" t="s">
        <v>288</v>
      </c>
      <c r="G122" s="24" t="s">
        <v>288</v>
      </c>
    </row>
    <row r="123" spans="1:7" x14ac:dyDescent="0.2">
      <c r="A123" t="s">
        <v>216</v>
      </c>
      <c r="B123" s="32" t="s">
        <v>217</v>
      </c>
      <c r="C123" s="95">
        <f>('DOE25'!L208)+('DOE25'!L226)+('DOE25'!L244)</f>
        <v>3369044.66</v>
      </c>
      <c r="D123" s="24" t="s">
        <v>288</v>
      </c>
      <c r="E123" s="95">
        <f>+('DOE25'!L287)+('DOE25'!L306)+('DOE25'!L325)</f>
        <v>40189</v>
      </c>
      <c r="F123" s="24" t="s">
        <v>288</v>
      </c>
      <c r="G123" s="24" t="s">
        <v>288</v>
      </c>
    </row>
    <row r="124" spans="1:7" x14ac:dyDescent="0.2">
      <c r="A124" t="s">
        <v>218</v>
      </c>
      <c r="B124" s="32" t="s">
        <v>219</v>
      </c>
      <c r="C124" s="95">
        <f>('DOE25'!L209)+('DOE25'!L227)+('DOE25'!L245+'DOE25'!L255)</f>
        <v>1105894.83</v>
      </c>
      <c r="D124" s="24" t="s">
        <v>288</v>
      </c>
      <c r="E124" s="95">
        <f>+('DOE25'!L288)+('DOE25'!L307)+('DOE25'!L326)</f>
        <v>51365.86</v>
      </c>
      <c r="F124" s="24" t="s">
        <v>288</v>
      </c>
      <c r="G124" s="24" t="s">
        <v>288</v>
      </c>
    </row>
    <row r="125" spans="1:7" x14ac:dyDescent="0.2">
      <c r="A125" t="s">
        <v>220</v>
      </c>
      <c r="B125" s="32" t="s">
        <v>221</v>
      </c>
      <c r="C125" s="95">
        <f>('DOE25'!L210)+('DOE25'!L228)+('DOE25'!L246)</f>
        <v>1329625.42</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386113.64</v>
      </c>
      <c r="E127" s="24" t="s">
        <v>288</v>
      </c>
      <c r="F127" s="24" t="s">
        <v>288</v>
      </c>
      <c r="G127" s="24" t="s">
        <v>288</v>
      </c>
    </row>
    <row r="128" spans="1:7" ht="12.75" thickTop="1" thickBot="1" x14ac:dyDescent="0.25">
      <c r="A128" s="33" t="s">
        <v>226</v>
      </c>
      <c r="C128" s="86">
        <f>SUM(C118:C127)</f>
        <v>14908956.279999999</v>
      </c>
      <c r="D128" s="86">
        <f>SUM(D118:D127)</f>
        <v>386113.64</v>
      </c>
      <c r="E128" s="86">
        <f>SUM(E118:E127)</f>
        <v>809618.15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628795.46</v>
      </c>
      <c r="D131" s="24" t="s">
        <v>288</v>
      </c>
      <c r="E131" s="129">
        <f>'DOE25'!L342</f>
        <v>0</v>
      </c>
      <c r="F131" s="24" t="s">
        <v>288</v>
      </c>
      <c r="G131" s="24" t="s">
        <v>288</v>
      </c>
    </row>
    <row r="132" spans="1:7" x14ac:dyDescent="0.2">
      <c r="A132" t="s">
        <v>230</v>
      </c>
      <c r="B132" s="32">
        <v>5120</v>
      </c>
      <c r="C132" s="95">
        <f>'DOE25'!L262</f>
        <v>192069.53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61273.97</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655629.33000000007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-55629.330000000075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1482138.96</v>
      </c>
      <c r="D144" s="141">
        <f>SUM(D130:D143)</f>
        <v>0</v>
      </c>
      <c r="E144" s="141">
        <f>SUM(E130:E143)</f>
        <v>0</v>
      </c>
      <c r="F144" s="141">
        <f>SUM(F130:F143)</f>
        <v>0</v>
      </c>
      <c r="G144" s="141">
        <f>SUM(G130:G143)</f>
        <v>0</v>
      </c>
    </row>
    <row r="145" spans="1:9" ht="12.75" thickTop="1" thickBot="1" x14ac:dyDescent="0.25">
      <c r="A145" s="33" t="s">
        <v>244</v>
      </c>
      <c r="C145" s="86">
        <f>(C115+C128+C144)</f>
        <v>39857832.269999996</v>
      </c>
      <c r="D145" s="86">
        <f>(D115+D128+D144)</f>
        <v>386113.64</v>
      </c>
      <c r="E145" s="86">
        <f>(E115+E128+E144)</f>
        <v>1808202.4300000002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123530</v>
      </c>
      <c r="C154" s="137">
        <f>'DOE25'!G494</f>
        <v>1404300</v>
      </c>
      <c r="D154" s="137">
        <f>'DOE25'!H494</f>
        <v>2553500</v>
      </c>
      <c r="E154" s="137">
        <f>'DOE25'!I494</f>
        <v>4393500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13795.46</v>
      </c>
      <c r="C156" s="137">
        <f>'DOE25'!G496</f>
        <v>560000</v>
      </c>
      <c r="D156" s="137">
        <f>'DOE25'!H496</f>
        <v>2040000</v>
      </c>
      <c r="E156" s="137">
        <f>'DOE25'!I496</f>
        <v>1755000</v>
      </c>
      <c r="F156" s="137">
        <f>'DOE25'!J496</f>
        <v>0</v>
      </c>
      <c r="G156" s="138">
        <f>SUM(B156:F156)</f>
        <v>4368795.46</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13795.46</v>
      </c>
      <c r="C158" s="137">
        <f>'DOE25'!G498</f>
        <v>140000</v>
      </c>
      <c r="D158" s="137">
        <f>'DOE25'!H498</f>
        <v>255000</v>
      </c>
      <c r="E158" s="137">
        <f>'DOE25'!I498</f>
        <v>220000</v>
      </c>
      <c r="F158" s="137">
        <f>'DOE25'!J498</f>
        <v>0</v>
      </c>
      <c r="G158" s="138">
        <f t="shared" si="0"/>
        <v>628795.46</v>
      </c>
    </row>
    <row r="159" spans="1:9" x14ac:dyDescent="0.2">
      <c r="A159" s="22" t="s">
        <v>35</v>
      </c>
      <c r="B159" s="137">
        <f>'DOE25'!F499</f>
        <v>0</v>
      </c>
      <c r="C159" s="137">
        <f>'DOE25'!G499</f>
        <v>420000</v>
      </c>
      <c r="D159" s="137">
        <f>'DOE25'!H499</f>
        <v>1785000</v>
      </c>
      <c r="E159" s="137">
        <f>'DOE25'!I499</f>
        <v>1535000</v>
      </c>
      <c r="F159" s="137">
        <f>'DOE25'!J499</f>
        <v>0</v>
      </c>
      <c r="G159" s="138">
        <f t="shared" si="0"/>
        <v>3740000</v>
      </c>
    </row>
    <row r="160" spans="1:9" x14ac:dyDescent="0.2">
      <c r="A160" s="22" t="s">
        <v>36</v>
      </c>
      <c r="B160" s="137">
        <f>'DOE25'!F500</f>
        <v>0</v>
      </c>
      <c r="C160" s="137">
        <f>'DOE25'!G500</f>
        <v>33705</v>
      </c>
      <c r="D160" s="137">
        <f>'DOE25'!H500</f>
        <v>429165</v>
      </c>
      <c r="E160" s="137">
        <f>'DOE25'!I500</f>
        <v>205556.82</v>
      </c>
      <c r="F160" s="137">
        <f>'DOE25'!J500</f>
        <v>0</v>
      </c>
      <c r="G160" s="138">
        <f t="shared" si="0"/>
        <v>668426.82000000007</v>
      </c>
    </row>
    <row r="161" spans="1:7" x14ac:dyDescent="0.2">
      <c r="A161" s="22" t="s">
        <v>37</v>
      </c>
      <c r="B161" s="137">
        <f>'DOE25'!F501</f>
        <v>0</v>
      </c>
      <c r="C161" s="137">
        <f>'DOE25'!G501</f>
        <v>453705</v>
      </c>
      <c r="D161" s="137">
        <f>'DOE25'!H501</f>
        <v>2214165</v>
      </c>
      <c r="E161" s="137">
        <f>'DOE25'!I501</f>
        <v>1740556.82</v>
      </c>
      <c r="F161" s="137">
        <f>'DOE25'!J501</f>
        <v>0</v>
      </c>
      <c r="G161" s="138">
        <f t="shared" si="0"/>
        <v>4408426.82</v>
      </c>
    </row>
    <row r="162" spans="1:7" x14ac:dyDescent="0.2">
      <c r="A162" s="22" t="s">
        <v>38</v>
      </c>
      <c r="B162" s="137">
        <f>'DOE25'!F502</f>
        <v>0</v>
      </c>
      <c r="C162" s="137">
        <f>'DOE25'!G502</f>
        <v>140000</v>
      </c>
      <c r="D162" s="137">
        <f>'DOE25'!H502</f>
        <v>255000</v>
      </c>
      <c r="E162" s="137">
        <f>'DOE25'!I502</f>
        <v>220000</v>
      </c>
      <c r="F162" s="137">
        <f>'DOE25'!J502</f>
        <v>0</v>
      </c>
      <c r="G162" s="138">
        <f t="shared" si="0"/>
        <v>615000</v>
      </c>
    </row>
    <row r="163" spans="1:7" x14ac:dyDescent="0.2">
      <c r="A163" s="22" t="s">
        <v>39</v>
      </c>
      <c r="B163" s="137">
        <f>'DOE25'!F503</f>
        <v>0</v>
      </c>
      <c r="C163" s="137">
        <f>'DOE25'!G503</f>
        <v>18725</v>
      </c>
      <c r="D163" s="137">
        <f>'DOE25'!H503</f>
        <v>84532.5</v>
      </c>
      <c r="E163" s="137">
        <f>'DOE25'!I503</f>
        <v>58506.26</v>
      </c>
      <c r="F163" s="137">
        <f>'DOE25'!J503</f>
        <v>0</v>
      </c>
      <c r="G163" s="138">
        <f t="shared" si="0"/>
        <v>161763.76</v>
      </c>
    </row>
    <row r="164" spans="1:7" x14ac:dyDescent="0.2">
      <c r="A164" s="22" t="s">
        <v>246</v>
      </c>
      <c r="B164" s="137">
        <f>'DOE25'!F504</f>
        <v>0</v>
      </c>
      <c r="C164" s="137">
        <f>'DOE25'!G504</f>
        <v>158725</v>
      </c>
      <c r="D164" s="137">
        <f>'DOE25'!H504</f>
        <v>339532.5</v>
      </c>
      <c r="E164" s="137">
        <f>'DOE25'!I504</f>
        <v>278506.26</v>
      </c>
      <c r="F164" s="137">
        <f>'DOE25'!J504</f>
        <v>0</v>
      </c>
      <c r="G164" s="138">
        <f t="shared" si="0"/>
        <v>776763.76</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zoomScale="120" zoomScaleNormal="120" workbookViewId="0">
      <selection activeCell="F21" sqref="F20:F2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Milford School District SAU 40</v>
      </c>
    </row>
    <row r="3" spans="1:4" x14ac:dyDescent="0.2">
      <c r="B3" s="188" t="s">
        <v>1666</v>
      </c>
    </row>
    <row r="4" spans="1:4" x14ac:dyDescent="0.2">
      <c r="B4" t="s">
        <v>61</v>
      </c>
      <c r="C4" s="179">
        <f>IF('DOE25'!F666+'DOE25'!F671=0,0,ROUND('DOE25'!F673,0))</f>
        <v>17125</v>
      </c>
    </row>
    <row r="5" spans="1:4" x14ac:dyDescent="0.2">
      <c r="B5" t="s">
        <v>700</v>
      </c>
      <c r="C5" s="179">
        <f>IF('DOE25'!G666+'DOE25'!G671=0,0,ROUND('DOE25'!G673,0))</f>
        <v>17681</v>
      </c>
    </row>
    <row r="6" spans="1:4" x14ac:dyDescent="0.2">
      <c r="B6" t="s">
        <v>62</v>
      </c>
      <c r="C6" s="179">
        <f>IF('DOE25'!H666+'DOE25'!H671=0,0,ROUND('DOE25'!H673,0))</f>
        <v>17962</v>
      </c>
    </row>
    <row r="7" spans="1:4" x14ac:dyDescent="0.2">
      <c r="B7" t="s">
        <v>701</v>
      </c>
      <c r="C7" s="179">
        <f>IF('DOE25'!I666+'DOE25'!I671=0,0,ROUND('DOE25'!I673,0))</f>
        <v>17555</v>
      </c>
    </row>
    <row r="9" spans="1:4" x14ac:dyDescent="0.2">
      <c r="A9" s="187" t="s">
        <v>94</v>
      </c>
      <c r="B9" s="188" t="s">
        <v>1671</v>
      </c>
      <c r="C9" s="181" t="s">
        <v>720</v>
      </c>
      <c r="D9" s="181" t="s">
        <v>721</v>
      </c>
    </row>
    <row r="10" spans="1:4" x14ac:dyDescent="0.2">
      <c r="A10">
        <v>1100</v>
      </c>
      <c r="B10" t="s">
        <v>702</v>
      </c>
      <c r="C10" s="179">
        <f>ROUND('DOE25'!L198+'DOE25'!L216+'DOE25'!L234+'DOE25'!L277+'DOE25'!L296+'DOE25'!L315,0)</f>
        <v>15669786</v>
      </c>
      <c r="D10" s="182">
        <f>ROUND((C10/$C$28)*100,1)</f>
        <v>38.5</v>
      </c>
    </row>
    <row r="11" spans="1:4" x14ac:dyDescent="0.2">
      <c r="A11">
        <v>1200</v>
      </c>
      <c r="B11" t="s">
        <v>703</v>
      </c>
      <c r="C11" s="179">
        <f>ROUND('DOE25'!L199+'DOE25'!L217+'DOE25'!L235+'DOE25'!L278+'DOE25'!L297+'DOE25'!L316,0)</f>
        <v>6656720</v>
      </c>
      <c r="D11" s="182">
        <f>ROUND((C11/$C$28)*100,1)</f>
        <v>16.3</v>
      </c>
    </row>
    <row r="12" spans="1:4" x14ac:dyDescent="0.2">
      <c r="A12">
        <v>1300</v>
      </c>
      <c r="B12" t="s">
        <v>704</v>
      </c>
      <c r="C12" s="179">
        <f>ROUND('DOE25'!L200+'DOE25'!L218+'DOE25'!L236+'DOE25'!L279+'DOE25'!L298+'DOE25'!L317,0)</f>
        <v>1590814</v>
      </c>
      <c r="D12" s="182">
        <f>ROUND((C12/$C$28)*100,1)</f>
        <v>3.9</v>
      </c>
    </row>
    <row r="13" spans="1:4" x14ac:dyDescent="0.2">
      <c r="A13">
        <v>1400</v>
      </c>
      <c r="B13" t="s">
        <v>705</v>
      </c>
      <c r="C13" s="179">
        <f>ROUND('DOE25'!L201+'DOE25'!L219+'DOE25'!L237+'DOE25'!L280+'DOE25'!L299+'DOE25'!L318,0)</f>
        <v>548001</v>
      </c>
      <c r="D13" s="182">
        <f>ROUND((C13/$C$28)*100,1)</f>
        <v>1.3</v>
      </c>
    </row>
    <row r="14" spans="1:4" x14ac:dyDescent="0.2">
      <c r="D14" s="182"/>
    </row>
    <row r="15" spans="1:4" x14ac:dyDescent="0.2">
      <c r="A15">
        <v>2100</v>
      </c>
      <c r="B15" t="s">
        <v>706</v>
      </c>
      <c r="C15" s="179">
        <f>ROUND('DOE25'!L203+'DOE25'!L221+'DOE25'!L239+'DOE25'!L282+'DOE25'!L301+'DOE25'!L320,0)</f>
        <v>3506573</v>
      </c>
      <c r="D15" s="182">
        <f t="shared" ref="D15:D27" si="0">ROUND((C15/$C$28)*100,1)</f>
        <v>8.6</v>
      </c>
    </row>
    <row r="16" spans="1:4" x14ac:dyDescent="0.2">
      <c r="A16">
        <v>2200</v>
      </c>
      <c r="B16" t="s">
        <v>707</v>
      </c>
      <c r="C16" s="179">
        <f>ROUND('DOE25'!L204+'DOE25'!L222+'DOE25'!L240+'DOE25'!L283+'DOE25'!L302+'DOE25'!L321,0)</f>
        <v>867602</v>
      </c>
      <c r="D16" s="182">
        <f t="shared" si="0"/>
        <v>2.1</v>
      </c>
    </row>
    <row r="17" spans="1:4" x14ac:dyDescent="0.2">
      <c r="A17" s="183" t="s">
        <v>723</v>
      </c>
      <c r="B17" t="s">
        <v>738</v>
      </c>
      <c r="C17" s="179">
        <f>ROUND('DOE25'!L205+'DOE25'!L210+'DOE25'!L223+'DOE25'!L228+'DOE25'!L241+'DOE25'!L246+'DOE25'!L284+'DOE25'!L289+'DOE25'!L303+'DOE25'!L308+'DOE25'!L322+'DOE25'!L327,0)</f>
        <v>4307840</v>
      </c>
      <c r="D17" s="182">
        <f t="shared" si="0"/>
        <v>10.6</v>
      </c>
    </row>
    <row r="18" spans="1:4" x14ac:dyDescent="0.2">
      <c r="A18">
        <v>2400</v>
      </c>
      <c r="B18" t="s">
        <v>711</v>
      </c>
      <c r="C18" s="179">
        <f>ROUND('DOE25'!L206+'DOE25'!L224+'DOE25'!L242+'DOE25'!L285+'DOE25'!L304+'DOE25'!L323,0)</f>
        <v>2031400</v>
      </c>
      <c r="D18" s="182">
        <f t="shared" si="0"/>
        <v>5</v>
      </c>
    </row>
    <row r="19" spans="1:4" x14ac:dyDescent="0.2">
      <c r="A19">
        <v>2500</v>
      </c>
      <c r="B19" t="s">
        <v>708</v>
      </c>
      <c r="C19" s="179">
        <f>ROUND('DOE25'!L207+'DOE25'!L225+'DOE25'!L243+'DOE25'!L286+'DOE25'!L305+'DOE25'!L324,0)</f>
        <v>438665</v>
      </c>
      <c r="D19" s="182">
        <f t="shared" si="0"/>
        <v>1.1000000000000001</v>
      </c>
    </row>
    <row r="20" spans="1:4" x14ac:dyDescent="0.2">
      <c r="A20">
        <v>2600</v>
      </c>
      <c r="B20" t="s">
        <v>709</v>
      </c>
      <c r="C20" s="179">
        <f>ROUND('DOE25'!L208+'DOE25'!L226+'DOE25'!L244+'DOE25'!L287+'DOE25'!L306+'DOE25'!L325,0)</f>
        <v>3409234</v>
      </c>
      <c r="D20" s="182">
        <f t="shared" si="0"/>
        <v>8.4</v>
      </c>
    </row>
    <row r="21" spans="1:4" x14ac:dyDescent="0.2">
      <c r="A21">
        <v>2700</v>
      </c>
      <c r="B21" t="s">
        <v>710</v>
      </c>
      <c r="C21" s="179">
        <f>ROUND('DOE25'!L209+'DOE25'!L227+'DOE25'!L245+'DOE25'!L288+'DOE25'!L307+'DOE25'!L326,0)</f>
        <v>1157261</v>
      </c>
      <c r="D21" s="182">
        <f t="shared" si="0"/>
        <v>2.8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192070</v>
      </c>
      <c r="D25" s="182">
        <f t="shared" si="0"/>
        <v>0.5</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363077.59</v>
      </c>
      <c r="D27" s="182">
        <f t="shared" si="0"/>
        <v>0.9</v>
      </c>
    </row>
    <row r="28" spans="1:4" x14ac:dyDescent="0.2">
      <c r="B28" s="187" t="s">
        <v>719</v>
      </c>
      <c r="C28" s="180">
        <f>SUM(C10:C27)</f>
        <v>40739043.590000004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40739043.590000004</v>
      </c>
    </row>
    <row r="31" spans="1:4" x14ac:dyDescent="0.2">
      <c r="B31" s="33"/>
      <c r="C31" s="180"/>
    </row>
    <row r="32" spans="1:4" x14ac:dyDescent="0.2">
      <c r="A32">
        <v>5100</v>
      </c>
      <c r="B32" s="33" t="s">
        <v>726</v>
      </c>
      <c r="C32" s="180">
        <f>ROUND('DOE25'!L261+'DOE25'!L342,0)</f>
        <v>628795</v>
      </c>
    </row>
    <row r="34" spans="1:4" x14ac:dyDescent="0.2">
      <c r="A34" s="187" t="s">
        <v>94</v>
      </c>
      <c r="B34" s="188" t="s">
        <v>1667</v>
      </c>
      <c r="C34" s="181" t="s">
        <v>720</v>
      </c>
      <c r="D34" s="181" t="s">
        <v>721</v>
      </c>
    </row>
    <row r="35" spans="1:4" x14ac:dyDescent="0.2">
      <c r="A35">
        <v>1100</v>
      </c>
      <c r="B35" s="185" t="s">
        <v>727</v>
      </c>
      <c r="C35" s="179">
        <f>ROUND('DOE25'!F60+'DOE25'!G60+'DOE25'!H60+'DOE25'!I60+'DOE25'!J60,0)</f>
        <v>27427965</v>
      </c>
      <c r="D35" s="182">
        <f t="shared" ref="D35:D40" si="1">ROUND((C35/$C$41)*100,1)</f>
        <v>63.2</v>
      </c>
    </row>
    <row r="36" spans="1:4" x14ac:dyDescent="0.2">
      <c r="B36" s="185" t="s">
        <v>739</v>
      </c>
      <c r="C36" s="179">
        <f>SUM('DOE25'!F112:J112)-SUM('DOE25'!G97:G110)+('DOE25'!F175+'DOE25'!F176+'DOE25'!I175+'DOE25'!I176)-C35</f>
        <v>1336323.7399999984</v>
      </c>
      <c r="D36" s="182">
        <f t="shared" si="1"/>
        <v>3.1</v>
      </c>
    </row>
    <row r="37" spans="1:4" x14ac:dyDescent="0.2">
      <c r="A37" s="183" t="s">
        <v>835</v>
      </c>
      <c r="B37" s="185" t="s">
        <v>728</v>
      </c>
      <c r="C37" s="179">
        <f>ROUND('DOE25'!F117+'DOE25'!F118,0)</f>
        <v>12220029</v>
      </c>
      <c r="D37" s="182">
        <f t="shared" si="1"/>
        <v>28.1</v>
      </c>
    </row>
    <row r="38" spans="1:4" x14ac:dyDescent="0.2">
      <c r="A38" s="183" t="s">
        <v>734</v>
      </c>
      <c r="B38" s="185" t="s">
        <v>729</v>
      </c>
      <c r="C38" s="179">
        <f>ROUND(SUM('DOE25'!F140:J140)-SUM('DOE25'!F117:F119),0)</f>
        <v>659563</v>
      </c>
      <c r="D38" s="182">
        <f t="shared" si="1"/>
        <v>1.5</v>
      </c>
    </row>
    <row r="39" spans="1:4" x14ac:dyDescent="0.2">
      <c r="A39">
        <v>4000</v>
      </c>
      <c r="B39" s="185" t="s">
        <v>730</v>
      </c>
      <c r="C39" s="179">
        <f>ROUND('DOE25'!F170+'DOE25'!G170+'DOE25'!H170+'DOE25'!I170,0)</f>
        <v>1768864</v>
      </c>
      <c r="D39" s="182">
        <f t="shared" si="1"/>
        <v>4.0999999999999996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43412744.739999995</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zoomScale="120" zoomScaleNormal="120" workbookViewId="0">
      <pane ySplit="3" topLeftCell="A4" activePane="bottomLeft" state="frozen"/>
      <selection activeCell="F46" sqref="F46"/>
      <selection pane="bottomLeft" activeCell="C5" sqref="C5:M5"/>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Milford School District SAU 40</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v>19</v>
      </c>
      <c r="B4" s="219">
        <v>1</v>
      </c>
      <c r="C4" s="375" t="s">
        <v>1681</v>
      </c>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t="s">
        <v>1680</v>
      </c>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v>19</v>
      </c>
      <c r="B7" s="219">
        <v>1</v>
      </c>
      <c r="C7" s="375" t="s">
        <v>1675</v>
      </c>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t="s">
        <v>1676</v>
      </c>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t="s">
        <v>1677</v>
      </c>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t="s">
        <v>1678</v>
      </c>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cp:lastModifiedBy>Welch, Matthew</cp:lastModifiedBy>
  <cp:lastPrinted>2021-10-14T10:46:57Z</cp:lastPrinted>
  <dcterms:created xsi:type="dcterms:W3CDTF">1997-12-04T19:04:30Z</dcterms:created>
  <dcterms:modified xsi:type="dcterms:W3CDTF">2021-12-14T19:02:29Z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