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35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17" l="1"/>
  <c r="E30" i="17"/>
  <c r="E26" i="17"/>
  <c r="E22" i="17" l="1"/>
  <c r="D11" i="13"/>
  <c r="E10" i="13" l="1"/>
  <c r="C37" i="12"/>
  <c r="B37" i="12"/>
  <c r="C38" i="12"/>
  <c r="C39" i="12"/>
  <c r="B38" i="12"/>
  <c r="B39" i="12"/>
  <c r="C28" i="12"/>
  <c r="C19" i="12"/>
  <c r="C21" i="12"/>
  <c r="C20" i="12"/>
  <c r="B19" i="12"/>
  <c r="B20" i="12"/>
  <c r="B21" i="12"/>
  <c r="C12" i="12"/>
  <c r="C10" i="12"/>
  <c r="C11" i="12"/>
  <c r="B12" i="12"/>
  <c r="B10" i="12"/>
  <c r="B11" i="12"/>
  <c r="I605" i="1"/>
  <c r="J605" i="1"/>
  <c r="H605" i="1"/>
  <c r="J203" i="1"/>
  <c r="J595" i="1"/>
  <c r="I595" i="1"/>
  <c r="G209" i="1"/>
  <c r="G244" i="1"/>
  <c r="G226" i="1"/>
  <c r="G224" i="1"/>
  <c r="G222" i="1"/>
  <c r="G221" i="1"/>
  <c r="F221" i="1"/>
  <c r="G219" i="1"/>
  <c r="G217" i="1" l="1"/>
  <c r="H246" i="1"/>
  <c r="H228" i="1"/>
  <c r="H210" i="1"/>
  <c r="H208" i="1"/>
  <c r="G208" i="1"/>
  <c r="G206" i="1"/>
  <c r="G205" i="1"/>
  <c r="G204" i="1"/>
  <c r="G203" i="1"/>
  <c r="G614" i="1"/>
  <c r="G613" i="1"/>
  <c r="G612" i="1"/>
  <c r="F614" i="1"/>
  <c r="F613" i="1"/>
  <c r="F612" i="1"/>
  <c r="I596" i="1"/>
  <c r="I593" i="1"/>
  <c r="J592" i="1"/>
  <c r="I592" i="1"/>
  <c r="J594" i="1"/>
  <c r="J593" i="1"/>
  <c r="H593" i="1"/>
  <c r="H592" i="1"/>
  <c r="H585" i="1"/>
  <c r="H583" i="1"/>
  <c r="G583" i="1"/>
  <c r="F583" i="1"/>
  <c r="H580" i="1"/>
  <c r="H576" i="1"/>
  <c r="G544" i="1"/>
  <c r="G543" i="1"/>
  <c r="F544" i="1"/>
  <c r="F543" i="1"/>
  <c r="G542" i="1"/>
  <c r="G534" i="1"/>
  <c r="G533" i="1"/>
  <c r="F534" i="1"/>
  <c r="F533" i="1"/>
  <c r="G532" i="1"/>
  <c r="F441" i="1" l="1"/>
  <c r="G441" i="1"/>
  <c r="H415" i="1" l="1"/>
  <c r="H296" i="1" l="1"/>
  <c r="G296" i="1"/>
  <c r="I315" i="1" l="1"/>
  <c r="I296" i="1"/>
  <c r="F315" i="1" l="1"/>
  <c r="H325" i="1"/>
  <c r="I325" i="1"/>
  <c r="I306" i="1"/>
  <c r="H277" i="1"/>
  <c r="I301" i="1"/>
  <c r="H301" i="1"/>
  <c r="I282" i="1"/>
  <c r="H282" i="1"/>
  <c r="J277" i="1"/>
  <c r="G297" i="1"/>
  <c r="I316" i="1"/>
  <c r="H316" i="1"/>
  <c r="H297" i="1"/>
  <c r="G277" i="1"/>
  <c r="F296" i="1"/>
  <c r="F277" i="1"/>
  <c r="I277" i="1"/>
  <c r="H321" i="1"/>
  <c r="H302" i="1"/>
  <c r="H283" i="1"/>
  <c r="H306" i="1"/>
  <c r="H287" i="1"/>
  <c r="H315" i="1"/>
  <c r="G315" i="1"/>
  <c r="G301" i="1"/>
  <c r="F301" i="1"/>
  <c r="J315" i="1"/>
  <c r="J296" i="1"/>
  <c r="J325" i="1"/>
  <c r="J306" i="1"/>
  <c r="J287" i="1"/>
  <c r="I287" i="1"/>
  <c r="F297" i="1"/>
  <c r="I297" i="1"/>
  <c r="H278" i="1"/>
  <c r="G316" i="1"/>
  <c r="G278" i="1"/>
  <c r="F316" i="1"/>
  <c r="F278" i="1"/>
  <c r="G325" i="1"/>
  <c r="G306" i="1"/>
  <c r="G287" i="1"/>
  <c r="F325" i="1"/>
  <c r="F306" i="1"/>
  <c r="F287" i="1"/>
  <c r="G320" i="1"/>
  <c r="G282" i="1"/>
  <c r="F320" i="1"/>
  <c r="F282" i="1"/>
  <c r="G318" i="1"/>
  <c r="G299" i="1"/>
  <c r="G280" i="1"/>
  <c r="F318" i="1"/>
  <c r="F299" i="1"/>
  <c r="F280" i="1"/>
  <c r="J316" i="1"/>
  <c r="J297" i="1"/>
  <c r="J278" i="1"/>
  <c r="I278" i="1"/>
  <c r="H256" i="1"/>
  <c r="G245" i="1"/>
  <c r="G242" i="1"/>
  <c r="G241" i="1"/>
  <c r="G240" i="1"/>
  <c r="G239" i="1"/>
  <c r="G237" i="1"/>
  <c r="G236" i="1"/>
  <c r="G235" i="1"/>
  <c r="G234" i="1"/>
  <c r="G227" i="1"/>
  <c r="G223" i="1"/>
  <c r="G216" i="1"/>
  <c r="G201" i="1"/>
  <c r="G199" i="1"/>
  <c r="G198" i="1"/>
  <c r="I246" i="1"/>
  <c r="I228" i="1"/>
  <c r="I210" i="1"/>
  <c r="H244" i="1"/>
  <c r="H226" i="1"/>
  <c r="K199" i="1"/>
  <c r="H235" i="1"/>
  <c r="H217" i="1"/>
  <c r="H199" i="1"/>
  <c r="K241" i="1"/>
  <c r="K223" i="1"/>
  <c r="K205" i="1"/>
  <c r="I241" i="1"/>
  <c r="I223" i="1"/>
  <c r="I205" i="1"/>
  <c r="H241" i="1"/>
  <c r="H223" i="1"/>
  <c r="H205" i="1"/>
  <c r="F241" i="1"/>
  <c r="F223" i="1"/>
  <c r="F205" i="1"/>
  <c r="F227" i="1"/>
  <c r="H227" i="1"/>
  <c r="K245" i="1"/>
  <c r="K227" i="1"/>
  <c r="J245" i="1"/>
  <c r="J227" i="1"/>
  <c r="I245" i="1"/>
  <c r="I227" i="1"/>
  <c r="H245" i="1"/>
  <c r="F245" i="1"/>
  <c r="I244" i="1"/>
  <c r="I226" i="1"/>
  <c r="F244" i="1"/>
  <c r="F226" i="1"/>
  <c r="I222" i="1"/>
  <c r="K242" i="1"/>
  <c r="K224" i="1"/>
  <c r="I242" i="1"/>
  <c r="I224" i="1"/>
  <c r="H242" i="1"/>
  <c r="H224" i="1"/>
  <c r="F242" i="1"/>
  <c r="F224" i="1"/>
  <c r="I240" i="1"/>
  <c r="H222" i="1"/>
  <c r="F240" i="1"/>
  <c r="F222" i="1"/>
  <c r="H240" i="1"/>
  <c r="I239" i="1"/>
  <c r="I221" i="1"/>
  <c r="H221" i="1"/>
  <c r="F239" i="1"/>
  <c r="K239" i="1"/>
  <c r="K221" i="1"/>
  <c r="H239" i="1"/>
  <c r="K237" i="1"/>
  <c r="K219" i="1"/>
  <c r="J237" i="1"/>
  <c r="I237" i="1"/>
  <c r="I219" i="1"/>
  <c r="H237" i="1"/>
  <c r="H219" i="1"/>
  <c r="F237" i="1"/>
  <c r="F219" i="1"/>
  <c r="H236" i="1"/>
  <c r="F236" i="1"/>
  <c r="J217" i="1"/>
  <c r="I235" i="1"/>
  <c r="I217" i="1"/>
  <c r="F235" i="1"/>
  <c r="F217" i="1"/>
  <c r="K234" i="1"/>
  <c r="K216" i="1"/>
  <c r="J234" i="1"/>
  <c r="J216" i="1"/>
  <c r="I216" i="1"/>
  <c r="I234" i="1"/>
  <c r="H234" i="1"/>
  <c r="H216" i="1"/>
  <c r="F234" i="1"/>
  <c r="F216" i="1"/>
  <c r="J199" i="1"/>
  <c r="I199" i="1"/>
  <c r="F199" i="1"/>
  <c r="J210" i="1" l="1"/>
  <c r="H209" i="1"/>
  <c r="K209" i="1"/>
  <c r="J209" i="1"/>
  <c r="I209" i="1"/>
  <c r="F209" i="1"/>
  <c r="I208" i="1" l="1"/>
  <c r="F208" i="1"/>
  <c r="K206" i="1"/>
  <c r="I206" i="1"/>
  <c r="H206" i="1"/>
  <c r="F206" i="1"/>
  <c r="I204" i="1" l="1"/>
  <c r="F204" i="1"/>
  <c r="H204" i="1"/>
  <c r="I203" i="1"/>
  <c r="H203" i="1"/>
  <c r="F203" i="1"/>
  <c r="I201" i="1"/>
  <c r="F201" i="1"/>
  <c r="J198" i="1"/>
  <c r="I198" i="1"/>
  <c r="H198" i="1"/>
  <c r="F198" i="1"/>
  <c r="H135" i="1"/>
  <c r="H154" i="1"/>
  <c r="H155" i="1"/>
  <c r="H159" i="1"/>
  <c r="H161" i="1"/>
  <c r="H162" i="1"/>
  <c r="F110" i="1" l="1"/>
  <c r="F28" i="1" l="1"/>
  <c r="F24"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E121" i="2" s="1"/>
  <c r="L286" i="1"/>
  <c r="L287" i="1"/>
  <c r="L288" i="1"/>
  <c r="L289" i="1"/>
  <c r="L296" i="1"/>
  <c r="L297" i="1"/>
  <c r="L298" i="1"/>
  <c r="E111" i="2" s="1"/>
  <c r="L299" i="1"/>
  <c r="E112" i="2" s="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56" i="2" s="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3" i="1"/>
  <c r="H653" i="1"/>
  <c r="G654" i="1"/>
  <c r="H654" i="1"/>
  <c r="G655" i="1"/>
  <c r="H655" i="1"/>
  <c r="H656" i="1"/>
  <c r="I170" i="1"/>
  <c r="F409" i="1" l="1"/>
  <c r="H644" i="1" s="1"/>
  <c r="J572" i="1"/>
  <c r="E124" i="2"/>
  <c r="H409" i="1"/>
  <c r="H645" i="1" s="1"/>
  <c r="J140" i="1"/>
  <c r="C32" i="10"/>
  <c r="D18" i="13"/>
  <c r="C18" i="13" s="1"/>
  <c r="C12" i="10"/>
  <c r="K339" i="1"/>
  <c r="K353" i="1" s="1"/>
  <c r="E13" i="13"/>
  <c r="C13" i="13" s="1"/>
  <c r="D50" i="2"/>
  <c r="C112" i="2"/>
  <c r="J652" i="1"/>
  <c r="G553" i="1"/>
  <c r="G409" i="1"/>
  <c r="H646" i="1" s="1"/>
  <c r="J646" i="1" s="1"/>
  <c r="G662" i="1"/>
  <c r="E119" i="2"/>
  <c r="E123" i="2"/>
  <c r="E110" i="2"/>
  <c r="G339" i="1"/>
  <c r="G353" i="1" s="1"/>
  <c r="C119" i="2"/>
  <c r="C110" i="2"/>
  <c r="C125" i="2"/>
  <c r="D15" i="13"/>
  <c r="C15" i="13" s="1"/>
  <c r="H663" i="1"/>
  <c r="C121" i="2"/>
  <c r="C120" i="2"/>
  <c r="D6" i="13"/>
  <c r="C6" i="13" s="1"/>
  <c r="C13" i="10"/>
  <c r="A40" i="12"/>
  <c r="J258" i="1"/>
  <c r="J272" i="1" s="1"/>
  <c r="J656" i="1"/>
  <c r="G646" i="1"/>
  <c r="H477" i="1"/>
  <c r="H625" i="1" s="1"/>
  <c r="J625" i="1" s="1"/>
  <c r="G477" i="1"/>
  <c r="B33" i="16"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D51" i="2"/>
  <c r="I663" i="1"/>
  <c r="C141" i="2"/>
  <c r="E128" i="2"/>
  <c r="E115" i="2"/>
  <c r="H649" i="1"/>
  <c r="J649" i="1" s="1"/>
  <c r="F661" i="1"/>
  <c r="F665" i="1" s="1"/>
  <c r="F668" i="1" s="1"/>
  <c r="G24" i="14"/>
  <c r="H24" i="14" s="1"/>
  <c r="I24" i="14" s="1"/>
  <c r="H661" i="1"/>
  <c r="H665" i="1" s="1"/>
  <c r="C81" i="2"/>
  <c r="F194" i="1"/>
  <c r="G628" i="1" s="1"/>
  <c r="J628" i="1" s="1"/>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68"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<sst xmlns="http://schemas.openxmlformats.org/spreadsheetml/2006/main" count="5577" uniqueCount="1676">
  <si>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</si>
  <si>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</si>
  <si>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</si>
  <si>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</si>
  <si>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</si>
  <si>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</si>
  <si>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</si>
  <si>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</si>
  <si>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</si>
  <si>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</si>
  <si>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</si>
  <si>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</si>
  <si>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</si>
  <si>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</si>
  <si>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</si>
  <si>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</si>
  <si>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</si>
  <si>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</si>
  <si>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</si>
  <si>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</si>
  <si>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</si>
  <si>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</si>
  <si>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</si>
  <si>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</si>
  <si>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</si>
  <si>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</si>
  <si>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</si>
  <si>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</si>
  <si>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</si>
  <si>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</si>
  <si>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</si>
  <si>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</si>
  <si>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</si>
  <si>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</si>
  <si>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</si>
  <si>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</si>
  <si>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</si>
  <si>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</si>
  <si>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</si>
  <si>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</si>
  <si>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</si>
  <si>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</si>
  <si>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</si>
  <si>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</si>
  <si>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</si>
  <si>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</si>
  <si>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</si>
  <si>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</si>
  <si>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</si>
  <si>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</si>
  <si>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</si>
  <si>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</si>
  <si>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</si>
  <si>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</si>
  <si>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</si>
  <si>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</si>
  <si>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</si>
  <si>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</si>
  <si>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</si>
  <si>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</si>
  <si>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</si>
  <si>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</si>
  <si>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</si>
  <si>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</si>
  <si>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</si>
  <si>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</si>
  <si>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</si>
  <si>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</si>
  <si>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</si>
  <si>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</si>
  <si>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</si>
  <si>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</si>
  <si>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</si>
  <si>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</si>
  <si>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</si>
  <si>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</si>
  <si>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</si>
  <si>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</si>
  <si>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</si>
  <si>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</si>
  <si>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</si>
  <si>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</si>
  <si>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</si>
  <si>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</si>
  <si>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</si>
  <si>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</si>
  <si>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</si>
  <si>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</si>
  <si>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</si>
  <si>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</si>
  <si>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</si>
  <si>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</si>
  <si>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</si>
  <si>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</si>
  <si>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</si>
  <si>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</si>
  <si>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</si>
  <si>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</si>
  <si>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</si>
  <si>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</si>
  <si>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</si>
  <si>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</si>
  <si>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</si>
  <si>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</si>
  <si>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</si>
  <si>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</si>
  <si>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</si>
  <si>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</si>
  <si>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</si>
  <si>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</si>
  <si>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</si>
  <si>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</si>
  <si>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</si>
  <si>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</si>
  <si>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</si>
  <si>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</si>
  <si>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</si>
  <si>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</si>
  <si>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</si>
  <si>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</si>
  <si>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</si>
  <si>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</si>
  <si>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</si>
  <si>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</si>
  <si>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</si>
  <si>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</si>
  <si>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</si>
  <si>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</si>
  <si>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</si>
  <si>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</si>
  <si>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</si>
  <si>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</si>
  <si>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</si>
  <si>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</si>
  <si>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</si>
  <si>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</si>
  <si>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</si>
  <si>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</si>
  <si>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</si>
  <si>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</si>
  <si>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</si>
  <si>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</si>
  <si>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</si>
  <si>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</si>
  <si>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</si>
  <si>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</si>
  <si>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</si>
  <si>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</si>
  <si>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</si>
  <si>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</si>
  <si>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</si>
  <si>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</si>
  <si>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</si>
  <si>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</si>
  <si>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</si>
  <si>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</si>
  <si>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</si>
  <si>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</si>
  <si>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</si>
  <si>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</si>
  <si>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</si>
  <si>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</si>
  <si>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</si>
  <si>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</si>
  <si>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</si>
  <si>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</si>
  <si>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</si>
  <si>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</si>
  <si>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</si>
  <si>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</si>
  <si>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</si>
  <si>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</si>
  <si>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</si>
  <si>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</si>
  <si>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</si>
  <si>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</si>
  <si>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</si>
  <si>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</si>
  <si>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</si>
  <si>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</si>
  <si>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</si>
  <si>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</si>
  <si>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</si>
  <si>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</si>
  <si>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</si>
  <si>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</si>
  <si>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</si>
  <si>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</si>
  <si>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</si>
  <si>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</si>
  <si>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</si>
  <si>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</si>
  <si>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</si>
  <si>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</si>
  <si>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</si>
  <si>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</si>
  <si>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</si>
  <si>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</si>
  <si>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</si>
  <si>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</si>
  <si>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</si>
  <si>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</si>
  <si>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</si>
  <si>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</si>
  <si>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</si>
  <si>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</si>
  <si>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</si>
  <si>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</si>
  <si>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</si>
  <si>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</si>
  <si>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</si>
  <si>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</si>
  <si>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</si>
  <si>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</si>
  <si>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</si>
  <si>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</si>
  <si>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</si>
  <si>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</si>
  <si>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</si>
  <si>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</si>
  <si>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</si>
  <si>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</si>
  <si>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</si>
  <si>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</si>
  <si>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</si>
  <si>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</si>
  <si>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</si>
  <si>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</si>
  <si>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</si>
  <si>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</si>
  <si>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</si>
  <si>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</si>
  <si>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</si>
  <si>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</si>
  <si>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</si>
  <si>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</si>
  <si>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</si>
  <si>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</si>
  <si>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</si>
  <si>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</si>
  <si>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</si>
  <si>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</si>
  <si>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</si>
  <si>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</si>
  <si>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</si>
  <si>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</si>
  <si>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</si>
  <si>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</si>
  <si>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</si>
  <si>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</si>
  <si>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</si>
  <si>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</si>
  <si>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</si>
  <si>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</si>
  <si>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</si>
  <si>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</si>
  <si>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</si>
  <si>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</si>
  <si>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</si>
  <si>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</si>
  <si>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</si>
  <si>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</si>
  <si>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</si>
  <si>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</si>
  <si>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</si>
  <si>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</si>
  <si>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</si>
  <si>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</si>
  <si>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</si>
  <si>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</si>
  <si>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</si>
  <si>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</si>
  <si>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</si>
  <si>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</si>
  <si>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</si>
  <si>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</si>
  <si>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</si>
  <si>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</si>
  <si>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</si>
  <si>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</si>
  <si>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</si>
  <si>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</si>
  <si>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</si>
  <si>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</si>
  <si>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</si>
  <si>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</si>
  <si>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</si>
  <si>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</si>
  <si>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</si>
  <si>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</si>
  <si>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</si>
  <si>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</si>
  <si>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</si>
  <si>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</si>
  <si>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</si>
  <si>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</si>
  <si>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</si>
  <si>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</si>
  <si>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</si>
  <si>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</si>
  <si>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</si>
  <si>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</si>
  <si>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</si>
  <si>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</si>
  <si>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</si>
  <si>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</si>
  <si>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</si>
  <si>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</si>
  <si>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</si>
  <si>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</si>
  <si>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</si>
  <si>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</si>
  <si>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</si>
  <si>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</si>
  <si>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</si>
  <si>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</si>
  <si>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</si>
  <si>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</si>
  <si>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</si>
  <si>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</si>
  <si>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</si>
  <si>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</si>
  <si>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</si>
  <si>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</si>
  <si>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</si>
  <si>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</si>
  <si>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</si>
  <si>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</si>
  <si>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</si>
  <si>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</si>
  <si>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</si>
  <si>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</si>
  <si>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</si>
  <si>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</si>
  <si>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</si>
  <si>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</si>
  <si>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</si>
  <si>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</si>
  <si>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</si>
  <si>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</si>
  <si>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</si>
  <si>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</si>
  <si>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</si>
  <si>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</si>
  <si>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</si>
  <si>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</si>
  <si>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</si>
  <si>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</si>
  <si>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</si>
  <si>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</si>
  <si>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</si>
  <si>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</si>
  <si>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</si>
  <si>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</si>
  <si>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</si>
  <si>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</si>
  <si>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</si>
  <si>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</si>
  <si>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</si>
  <si>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</si>
  <si>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</si>
  <si>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</si>
  <si>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</si>
  <si>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</si>
  <si>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</si>
  <si>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</si>
  <si>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</si>
  <si>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</si>
  <si>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</si>
  <si>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</si>
  <si>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</si>
  <si>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</si>
  <si>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</si>
  <si>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</si>
  <si>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</si>
  <si>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</si>
  <si>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</si>
  <si>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</si>
  <si>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</si>
  <si>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</si>
  <si>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</si>
  <si>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</si>
  <si>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</si>
  <si>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</si>
  <si>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</si>
  <si>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</si>
  <si>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</si>
  <si>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</si>
  <si>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</si>
  <si>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</si>
  <si>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</si>
  <si>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</si>
  <si>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</si>
  <si>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</si>
  <si>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</si>
  <si>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</si>
  <si>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</si>
  <si>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</si>
  <si>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</si>
  <si>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</si>
  <si>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</si>
  <si>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</si>
  <si>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</si>
  <si>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</si>
  <si>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</si>
  <si>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</si>
  <si>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</si>
  <si>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</si>
  <si>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</si>
  <si>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</si>
  <si>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</si>
  <si>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</si>
  <si>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</si>
  <si>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</si>
  <si>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</si>
  <si>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</si>
  <si>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</si>
  <si>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</si>
  <si>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</si>
  <si>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</si>
  <si>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</si>
  <si>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</si>
  <si>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</si>
  <si>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</si>
  <si>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</si>
  <si>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</si>
  <si>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</si>
  <si>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</si>
  <si>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</si>
  <si>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</si>
  <si>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</si>
  <si>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</si>
  <si>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</si>
  <si>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</si>
  <si>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</si>
  <si>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</si>
  <si>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</si>
  <si>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</si>
  <si>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</si>
  <si>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</si>
  <si>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</si>
  <si>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</si>
  <si>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</si>
  <si>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</si>
  <si>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</si>
  <si>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</si>
  <si>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</si>
  <si>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</si>
  <si>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</si>
  <si>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</si>
  <si>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</si>
  <si>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</si>
  <si>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</si>
  <si>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</si>
  <si>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</si>
  <si>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</si>
  <si>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</si>
  <si>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</si>
  <si>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</si>
  <si>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</si>
  <si>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</si>
  <si>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</si>
  <si>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</si>
  <si>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</si>
  <si>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</si>
  <si>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</si>
  <si>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</si>
  <si>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</si>
  <si>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</si>
  <si>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</si>
  <si>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</si>
  <si>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</si>
  <si>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</si>
  <si>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</si>
  <si>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</si>
  <si>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</si>
  <si>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</si>
  <si>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</si>
  <si>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</si>
  <si>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</si>
  <si>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</si>
  <si>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</si>
  <si>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</si>
  <si>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</si>
  <si>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</si>
  <si>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</si>
  <si>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</si>
  <si>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</si>
  <si>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</si>
  <si>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</si>
  <si>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</si>
  <si>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</si>
  <si>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</si>
  <si>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</si>
  <si>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</si>
  <si>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</si>
  <si>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</si>
  <si>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</si>
  <si>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</si>
  <si>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</si>
  <si>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</si>
  <si>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</si>
  <si>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</si>
  <si>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</si>
  <si>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</si>
  <si>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</si>
  <si>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</si>
  <si>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</si>
  <si>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</si>
  <si>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</si>
  <si>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</si>
  <si>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</si>
  <si>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</si>
  <si>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</si>
  <si>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</si>
  <si>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</si>
  <si>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</si>
  <si>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</si>
  <si>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</si>
  <si>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</si>
  <si>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</si>
  <si>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</si>
  <si>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</si>
  <si>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</si>
  <si>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</si>
  <si>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</si>
  <si>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</si>
  <si>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</si>
  <si>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</si>
  <si>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</si>
  <si>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</si>
  <si>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</si>
  <si>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</si>
  <si>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</si>
  <si>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</si>
  <si>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</si>
  <si>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</si>
  <si>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</si>
  <si>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</si>
  <si>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</si>
  <si>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</si>
  <si>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</si>
  <si>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</si>
  <si>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</si>
  <si>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</si>
  <si>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</si>
  <si>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</si>
  <si>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</si>
  <si>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</si>
  <si>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</si>
  <si>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</si>
  <si>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</si>
  <si>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</si>
  <si>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</si>
  <si>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</si>
  <si>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</si>
  <si>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</si>
  <si>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</si>
  <si>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</si>
  <si>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</si>
  <si>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</si>
  <si>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</si>
  <si>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</si>
  <si>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</si>
  <si>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</si>
  <si>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</si>
  <si>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</si>
  <si>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</si>
  <si>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</si>
  <si>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</si>
  <si>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</si>
  <si>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</si>
  <si>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</si>
  <si>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</si>
  <si>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</si>
  <si>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</si>
  <si>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</si>
  <si>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</si>
  <si>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</si>
  <si>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</si>
  <si>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</si>
  <si>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</si>
  <si>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</si>
  <si>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</si>
  <si>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</si>
  <si>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</si>
  <si>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</si>
  <si>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</si>
  <si>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</si>
  <si>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</si>
  <si>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</si>
  <si>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</si>
  <si>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</si>
  <si>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</si>
  <si>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</si>
  <si>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</si>
  <si>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</si>
  <si>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</si>
  <si>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</si>
  <si>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</si>
  <si>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</si>
  <si>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</si>
  <si>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</si>
  <si>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</si>
  <si>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</si>
  <si>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</si>
  <si>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</si>
  <si>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</si>
  <si>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</si>
  <si>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</si>
  <si>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</si>
  <si>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</si>
  <si>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</si>
  <si>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</si>
  <si>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</si>
  <si>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</si>
  <si>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</si>
  <si>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</si>
  <si>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</si>
  <si>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</si>
  <si>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</si>
  <si>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</si>
  <si>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</si>
  <si>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</si>
  <si>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</si>
  <si>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</si>
  <si>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</si>
  <si>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</si>
  <si>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</si>
  <si>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</si>
  <si>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</si>
  <si>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</si>
  <si>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</si>
  <si>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</si>
  <si>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</si>
  <si>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</si>
  <si>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</si>
  <si>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</si>
  <si>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</si>
  <si>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</si>
  <si>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</si>
  <si>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</si>
  <si>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</si>
  <si>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</si>
  <si>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</si>
  <si>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</si>
  <si>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</si>
  <si>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</si>
  <si>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</si>
  <si>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</si>
  <si>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</si>
  <si>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</si>
  <si>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</si>
  <si>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</si>
  <si>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</si>
  <si>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</si>
  <si>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</si>
  <si>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</si>
  <si>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</si>
  <si>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</si>
  <si>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</si>
  <si>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</si>
  <si>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</si>
  <si>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</si>
  <si>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</si>
  <si>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</si>
  <si>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</si>
  <si>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</si>
  <si>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</si>
  <si>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</si>
  <si>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</si>
  <si>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</si>
  <si>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</si>
  <si>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</si>
  <si>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</si>
  <si>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</si>
  <si>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</si>
  <si>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</si>
  <si>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</si>
  <si>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</si>
  <si>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</si>
  <si>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</si>
  <si>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</si>
  <si>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</si>
  <si>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</si>
  <si>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</si>
  <si>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</si>
  <si>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</si>
  <si>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</si>
  <si>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</si>
  <si>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</si>
  <si>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</si>
  <si>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</si>
  <si>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</si>
  <si>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</si>
  <si>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</si>
  <si>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</si>
  <si>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</si>
  <si>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</si>
  <si>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</si>
  <si>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</si>
  <si>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</si>
  <si>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</si>
  <si>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</si>
  <si>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</si>
  <si>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</si>
  <si>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</si>
  <si>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</si>
  <si>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</si>
  <si>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</si>
  <si>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</si>
  <si>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</si>
  <si>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</si>
  <si>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</si>
  <si>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</si>
  <si>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</si>
  <si>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</si>
  <si>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</si>
  <si>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</si>
  <si>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</si>
  <si>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</si>
  <si>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</si>
  <si>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</si>
  <si>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</si>
  <si>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</si>
  <si>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</si>
  <si>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</si>
  <si>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</si>
  <si>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</si>
  <si>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</si>
  <si>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</si>
  <si>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</si>
  <si>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</si>
  <si>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</si>
  <si>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</si>
  <si>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</si>
  <si>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</si>
  <si>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</si>
  <si>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</si>
  <si>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</si>
  <si>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</si>
  <si>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</si>
  <si>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</si>
  <si>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</si>
  <si>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</si>
  <si>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</si>
  <si>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</si>
  <si>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</si>
  <si>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</si>
  <si>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</si>
  <si>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</si>
  <si>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</si>
  <si>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</si>
  <si>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</si>
  <si>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</si>
  <si>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</si>
  <si>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</si>
  <si>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</si>
  <si>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</si>
  <si>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</si>
  <si>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</si>
  <si>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</si>
  <si>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</si>
  <si>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</si>
  <si>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</si>
  <si>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</si>
  <si>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</si>
  <si>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</si>
  <si>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</si>
  <si>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</si>
  <si>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</si>
  <si>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</si>
  <si>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</si>
  <si>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</si>
  <si>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</si>
  <si>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</si>
  <si>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</si>
  <si>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</si>
  <si>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</si>
  <si>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</si>
  <si>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</si>
  <si>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</si>
  <si>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</si>
  <si>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</si>
  <si>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</si>
  <si>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</si>
  <si>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</si>
  <si>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</si>
  <si>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</si>
  <si>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</si>
  <si>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</si>
  <si>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</si>
  <si>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</si>
  <si>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</si>
  <si>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</si>
  <si>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</si>
  <si>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</si>
  <si>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</si>
  <si>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</si>
  <si>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</si>
  <si>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</si>
  <si>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</si>
  <si>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</si>
  <si>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</si>
  <si>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</si>
  <si>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</si>
  <si>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</si>
  <si>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</si>
  <si>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</si>
  <si>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</si>
  <si>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</si>
  <si>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</si>
  <si>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</si>
  <si>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</si>
  <si>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</si>
  <si>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</si>
  <si>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</si>
  <si>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</si>
  <si>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</si>
  <si>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</si>
  <si>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</si>
  <si>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</si>
  <si>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</si>
  <si>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</si>
  <si>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</si>
  <si>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</si>
  <si>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</si>
  <si>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</si>
  <si>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</si>
  <si>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</si>
  <si>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</si>
  <si>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</si>
  <si>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</si>
  <si>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</si>
  <si>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</si>
  <si>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</si>
  <si>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</si>
  <si>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</si>
  <si>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</si>
  <si>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</si>
  <si>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</si>
  <si>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</si>
  <si>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</si>
  <si>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</si>
  <si>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</si>
  <si>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</si>
  <si>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</si>
  <si>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</si>
  <si>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</si>
  <si>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</si>
  <si>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</si>
  <si>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</si>
  <si>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</si>
  <si>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</si>
  <si>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</si>
  <si>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</si>
  <si>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</si>
  <si>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</si>
  <si>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</si>
  <si>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</si>
  <si>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</si>
  <si>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</si>
  <si>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</si>
  <si>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</si>
  <si>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</si>
  <si>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</si>
  <si>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</si>
  <si>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</si>
  <si>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</si>
  <si>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</si>
  <si>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</si>
  <si>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</si>
  <si>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</si>
  <si>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</si>
  <si>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</si>
  <si>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</si>
  <si>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</si>
  <si>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</si>
  <si>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</si>
  <si>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</si>
  <si>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</si>
  <si>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</si>
  <si>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</si>
  <si>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</si>
  <si>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</si>
  <si>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</si>
  <si>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</si>
  <si>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</si>
  <si>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</si>
  <si>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</si>
  <si>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</si>
  <si>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</si>
  <si>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</si>
  <si>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</si>
  <si>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</si>
  <si>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</si>
  <si>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</si>
  <si>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</si>
  <si>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</si>
  <si>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</si>
  <si>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</si>
  <si>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</si>
  <si>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</si>
  <si>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</si>
  <si>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</si>
  <si>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</si>
  <si>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</si>
  <si>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</si>
  <si>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</si>
  <si>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</si>
  <si>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</si>
  <si>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</si>
  <si>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</si>
  <si>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</si>
  <si>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</si>
  <si>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</si>
  <si>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</si>
  <si>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</si>
  <si>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</si>
  <si>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</si>
  <si>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</si>
  <si>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</si>
  <si>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</si>
  <si>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</si>
  <si>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</si>
  <si>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</si>
  <si>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</si>
  <si>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</si>
  <si>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</si>
  <si>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</si>
  <si>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</si>
  <si>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</si>
  <si>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</si>
  <si>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</si>
  <si>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</si>
  <si>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</si>
  <si>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</si>
  <si>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</si>
  <si>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</si>
  <si>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</si>
  <si>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</si>
  <si>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</si>
  <si>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</si>
  <si>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</si>
  <si>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</si>
  <si>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</si>
  <si>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</si>
  <si>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</si>
  <si>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</si>
  <si>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</si>
  <si>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</si>
  <si>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</si>
  <si>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</si>
  <si>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</si>
  <si>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</si>
  <si>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</si>
  <si>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</si>
  <si>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</si>
  <si>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</si>
  <si>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</si>
  <si>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</si>
  <si>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</si>
  <si>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</si>
  <si>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</si>
  <si>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</si>
  <si>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</si>
  <si>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</si>
  <si>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</si>
  <si>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</si>
  <si>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</si>
  <si>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</si>
  <si>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</si>
  <si>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</si>
  <si>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</si>
  <si>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</si>
  <si>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</si>
  <si>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</si>
  <si>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</si>
  <si>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</si>
  <si>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</si>
  <si>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</si>
  <si>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</si>
  <si>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</si>
  <si>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</si>
  <si>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</si>
  <si>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</si>
  <si>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</si>
  <si>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</si>
  <si>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</si>
  <si>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</si>
  <si>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</si>
  <si>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</si>
  <si>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</si>
  <si>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</si>
  <si>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</si>
  <si>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</si>
  <si>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</si>
  <si>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</si>
  <si>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</si>
  <si>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</si>
  <si>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</si>
  <si>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</si>
  <si>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</si>
  <si>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</si>
  <si>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</si>
  <si>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</si>
  <si>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</si>
  <si>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</si>
  <si>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</si>
  <si>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</si>
  <si>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</si>
  <si>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</si>
  <si>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</si>
  <si>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</si>
  <si>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</si>
  <si>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</si>
  <si>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</si>
  <si>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</si>
  <si>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</si>
  <si>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</si>
  <si>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</si>
  <si>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</si>
  <si>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</si>
  <si>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</si>
  <si>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</si>
  <si>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</si>
  <si>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</si>
  <si>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</si>
  <si>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</si>
  <si>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</si>
  <si>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</si>
  <si>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</si>
  <si>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</si>
  <si>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</si>
  <si>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</si>
  <si>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</si>
  <si>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</si>
  <si>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</si>
  <si>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</si>
  <si>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</si>
  <si>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</si>
  <si>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</si>
  <si>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</si>
  <si>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</si>
  <si>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</si>
  <si>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</si>
  <si>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</si>
  <si>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</si>
  <si>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</si>
  <si>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</si>
  <si>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</si>
  <si>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</si>
  <si>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</si>
  <si>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</si>
  <si>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</si>
  <si>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</si>
  <si>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</si>
  <si>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</si>
  <si>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</si>
  <si>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</si>
  <si>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</si>
  <si>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</si>
  <si>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</si>
  <si>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</si>
  <si>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</si>
  <si>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</si>
  <si>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</si>
  <si>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</si>
  <si>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</si>
  <si>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</si>
  <si>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</si>
  <si>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</si>
  <si>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</si>
  <si>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</si>
  <si>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</si>
  <si>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</si>
  <si>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</si>
  <si>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</si>
  <si>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</si>
  <si>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</si>
  <si>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</si>
  <si>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</si>
  <si>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</si>
  <si>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</si>
  <si>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</si>
  <si>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</si>
  <si>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</si>
  <si>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</si>
  <si>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</si>
  <si>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</si>
  <si>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</si>
  <si>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</si>
  <si>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</si>
  <si>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</si>
  <si>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</si>
  <si>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</si>
  <si>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</si>
  <si>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</si>
  <si>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</si>
  <si>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</si>
  <si>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</si>
  <si>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</si>
  <si>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</si>
  <si>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</si>
  <si>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</si>
  <si>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</si>
  <si>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</si>
  <si>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</si>
  <si>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</si>
  <si>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</si>
  <si>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</si>
  <si>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</si>
  <si>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</si>
  <si>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</si>
  <si>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</si>
  <si>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</si>
  <si>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</si>
  <si>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</si>
  <si>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</si>
  <si>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</si>
  <si>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</si>
  <si>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</si>
  <si>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</si>
  <si>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</si>
  <si>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</si>
  <si>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</si>
  <si>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</si>
  <si>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</si>
  <si>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</si>
  <si>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</si>
  <si>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</si>
  <si>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</si>
  <si>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</si>
  <si>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</si>
  <si>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</si>
  <si>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</si>
  <si>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</si>
  <si>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</si>
  <si>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</si>
  <si>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</si>
  <si>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</si>
  <si>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</si>
  <si>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</si>
  <si>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</si>
  <si>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</si>
  <si>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</si>
  <si>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</si>
  <si>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</si>
  <si>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</si>
  <si>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</si>
  <si>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</si>
  <si>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</si>
  <si>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</si>
  <si>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</si>
  <si>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</si>
  <si>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</si>
  <si>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</si>
  <si>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</si>
  <si>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</si>
  <si>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</si>
  <si>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</si>
  <si>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</si>
  <si>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</si>
  <si>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</si>
  <si>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</si>
  <si>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</si>
  <si>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</si>
  <si>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</si>
  <si>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</si>
  <si>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</si>
  <si>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</si>
  <si>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</si>
  <si>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</si>
  <si>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</si>
  <si>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</si>
  <si>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</si>
  <si>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</si>
  <si>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</si>
  <si>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</si>
  <si>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</si>
  <si>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</si>
  <si>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</si>
  <si>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</si>
  <si>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</si>
  <si>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</si>
  <si>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</si>
  <si>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</si>
  <si>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</si>
  <si>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</si>
  <si>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</si>
  <si>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</si>
  <si>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</si>
  <si>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</si>
  <si>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</si>
  <si>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</si>
  <si>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</si>
  <si>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</si>
  <si>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</si>
  <si>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</si>
  <si>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</si>
  <si>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</si>
  <si>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</si>
  <si>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</si>
  <si>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</si>
  <si>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</si>
  <si>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</si>
  <si>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</si>
  <si>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</si>
  <si>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</si>
  <si>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</si>
  <si>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</si>
  <si>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</si>
  <si>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</si>
  <si>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</si>
  <si>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</si>
  <si>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</si>
  <si>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</si>
  <si>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</si>
  <si>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</si>
  <si>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</si>
  <si>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</si>
  <si>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</si>
  <si>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</si>
  <si>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</si>
  <si>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</si>
  <si>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</si>
  <si>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</si>
  <si>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</si>
  <si>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</si>
  <si>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</si>
  <si>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</si>
  <si>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</si>
  <si>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</si>
  <si>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</si>
  <si>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</si>
  <si>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</si>
  <si>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</si>
  <si>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</si>
  <si>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</si>
  <si>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</si>
  <si>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</si>
  <si>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</si>
  <si>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</si>
  <si>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</si>
  <si>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</si>
  <si>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</si>
  <si>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</si>
  <si>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</si>
  <si>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</si>
  <si>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</si>
  <si>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</si>
  <si>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</si>
  <si>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</si>
  <si>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</si>
  <si>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</si>
  <si>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</si>
  <si>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</si>
  <si>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</si>
  <si>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</si>
  <si>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</si>
  <si>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</si>
  <si>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</si>
  <si>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</si>
  <si>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</si>
  <si>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</si>
  <si>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</si>
  <si>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</si>
  <si>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</si>
  <si>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</si>
  <si>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</si>
  <si>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</si>
  <si>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</si>
  <si>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</si>
  <si>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</si>
  <si>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</si>
  <si>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</si>
  <si>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</si>
  <si>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</si>
  <si>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</si>
  <si>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</si>
  <si>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</si>
  <si>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</si>
  <si>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</si>
  <si>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</si>
  <si>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</si>
  <si>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</si>
  <si>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</si>
  <si>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</si>
  <si>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</si>
  <si>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</si>
  <si>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</si>
  <si>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</si>
  <si>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</si>
  <si>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</si>
  <si>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</si>
  <si>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</si>
  <si>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</si>
  <si>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</si>
  <si>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</si>
  <si>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</si>
  <si>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</si>
  <si>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</si>
  <si>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</si>
  <si>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</si>
  <si>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</si>
  <si>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</si>
  <si>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</si>
  <si>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</si>
  <si>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</si>
  <si>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</si>
  <si>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</si>
  <si>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</si>
  <si>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</si>
  <si>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</si>
  <si>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</si>
  <si>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</si>
  <si>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</si>
  <si>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</si>
  <si>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</si>
  <si>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</si>
  <si>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</si>
  <si>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</si>
  <si>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</si>
  <si>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</si>
  <si>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</si>
  <si>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</si>
  <si>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</si>
  <si>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</si>
  <si>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</si>
  <si>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</si>
  <si>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</si>
  <si>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</si>
  <si>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</si>
  <si>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</si>
  <si>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</si>
  <si>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</si>
  <si>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</si>
  <si>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</si>
  <si>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</si>
  <si>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</si>
  <si>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</si>
  <si>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</si>
  <si>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</si>
  <si>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</si>
  <si>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</si>
  <si>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</si>
  <si>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</si>
  <si>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</si>
  <si>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</si>
  <si>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</si>
  <si>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</si>
  <si>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</si>
  <si>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</si>
  <si>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</si>
  <si>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</si>
  <si>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</si>
  <si>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</si>
  <si>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</si>
  <si>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</si>
  <si>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</si>
  <si>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</si>
  <si>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</si>
  <si>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</si>
  <si>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</si>
  <si>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</si>
  <si>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</si>
  <si>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</si>
  <si>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</si>
  <si>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</si>
  <si>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</si>
  <si>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</si>
  <si>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</si>
  <si>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</si>
  <si>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</si>
  <si>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</si>
  <si>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</si>
  <si>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</si>
  <si>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</si>
  <si>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</si>
  <si>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</si>
  <si>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</si>
  <si>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</si>
  <si>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</si>
  <si>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</si>
  <si>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</si>
  <si>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</si>
  <si>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</si>
  <si>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</si>
  <si>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</si>
  <si>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</si>
  <si>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</si>
  <si>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</si>
  <si>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</si>
  <si>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</si>
  <si>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</si>
  <si>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</si>
  <si>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</si>
  <si>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</si>
  <si>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</si>
  <si>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</si>
  <si>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</si>
  <si>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</si>
  <si>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</si>
  <si>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</si>
  <si>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</si>
  <si>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</si>
  <si>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</si>
  <si>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</si>
  <si>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</si>
  <si>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</si>
  <si>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</si>
  <si>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</si>
  <si>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</si>
  <si>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</si>
  <si>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</si>
  <si>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</si>
  <si>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</si>
  <si>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</si>
  <si>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</si>
  <si>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</si>
  <si>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</si>
  <si>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</si>
  <si>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</si>
  <si>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</si>
  <si>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</si>
  <si>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</si>
  <si>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</si>
  <si>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</si>
  <si>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</si>
  <si>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</si>
  <si>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</si>
  <si>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</si>
  <si>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</si>
  <si>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</si>
  <si>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</si>
  <si>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</si>
  <si>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</si>
  <si>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</si>
  <si>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</si>
  <si>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</si>
  <si>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</si>
  <si>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</si>
  <si>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</si>
  <si>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</si>
  <si>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</si>
  <si>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</si>
  <si>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</si>
  <si>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</si>
  <si>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</si>
  <si>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</si>
  <si>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</si>
  <si>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</si>
  <si>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</si>
  <si>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</si>
  <si>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</si>
  <si>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</si>
  <si>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</si>
  <si>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</si>
  <si>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</si>
  <si>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</si>
  <si>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</si>
  <si>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</si>
  <si>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</si>
  <si>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</si>
  <si>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</si>
  <si>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</si>
  <si>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</si>
  <si>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</si>
  <si>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</si>
  <si>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</si>
  <si>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</si>
  <si>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</si>
  <si>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</si>
  <si>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</si>
  <si>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</si>
  <si>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</si>
  <si>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</si>
  <si>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</si>
  <si>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</si>
  <si>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</si>
  <si>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</si>
  <si>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</si>
  <si>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</si>
  <si>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</si>
  <si>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</si>
  <si>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</si>
  <si>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</si>
  <si>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</si>
  <si>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</si>
  <si>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</si>
  <si>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</si>
  <si>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</si>
  <si>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</si>
  <si>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</si>
  <si>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</si>
  <si>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</si>
  <si>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</si>
  <si>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</si>
  <si>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</si>
  <si>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</si>
  <si>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</si>
  <si>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</si>
  <si>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</si>
  <si>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</si>
  <si>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</si>
  <si>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</si>
  <si>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</si>
  <si>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</si>
  <si>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</si>
  <si>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</si>
  <si>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</si>
  <si>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</si>
  <si>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</si>
  <si>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</si>
  <si>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</si>
  <si>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</si>
  <si>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</si>
  <si>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</si>
  <si>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</si>
  <si>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</si>
  <si>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</si>
  <si>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</si>
  <si>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</si>
  <si>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</si>
  <si>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</si>
  <si>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</si>
  <si>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</si>
  <si>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</si>
  <si>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</si>
  <si>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</si>
  <si>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</si>
  <si>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</si>
  <si>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</si>
  <si>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</si>
  <si>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</si>
  <si>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</si>
  <si>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</si>
  <si>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</si>
  <si>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</si>
  <si>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</si>
  <si>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</si>
  <si>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</si>
  <si>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</si>
  <si>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</si>
  <si>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</si>
  <si>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</si>
  <si>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</si>
  <si>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</si>
  <si>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</si>
  <si>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</si>
  <si>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</si>
  <si>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</si>
  <si>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</si>
  <si>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</si>
  <si>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</si>
  <si>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</si>
  <si>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</si>
  <si>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</si>
  <si>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</si>
  <si>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</si>
  <si>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</si>
  <si>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</si>
  <si>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</si>
  <si>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</si>
  <si>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</si>
  <si>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</si>
  <si>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</si>
  <si>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</si>
  <si>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</si>
  <si>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</si>
  <si>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</si>
  <si>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</si>
  <si>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</si>
  <si>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</si>
  <si>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</si>
  <si>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</si>
  <si>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</si>
  <si>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</si>
  <si>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</si>
  <si>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</si>
  <si>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</si>
  <si>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</si>
  <si>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</si>
  <si>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</si>
  <si>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</si>
  <si>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</si>
  <si>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</si>
  <si>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</si>
  <si>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</si>
  <si>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</si>
  <si>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</si>
  <si>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</si>
  <si>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</si>
  <si>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</si>
  <si>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</si>
  <si>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</si>
  <si>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</si>
  <si>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</si>
  <si>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</si>
  <si>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</si>
  <si>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</si>
  <si>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</si>
  <si>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</si>
  <si>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</si>
  <si>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</si>
  <si>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</si>
  <si>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</si>
  <si>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</si>
  <si>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</si>
  <si>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</si>
  <si>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</si>
  <si>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</si>
  <si>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</si>
  <si>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</si>
  <si>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</si>
  <si>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</si>
  <si>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</si>
  <si>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</si>
  <si>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</si>
  <si>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</si>
  <si>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</si>
  <si>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</si>
  <si>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</si>
  <si>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</si>
  <si>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</si>
  <si>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</si>
  <si>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</si>
  <si>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</si>
  <si>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</si>
  <si>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</si>
  <si>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</si>
  <si>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</si>
  <si>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</si>
  <si>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</si>
  <si>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</si>
  <si>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</si>
  <si>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</si>
  <si>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</si>
  <si>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</si>
  <si>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</si>
  <si>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</si>
  <si>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</si>
  <si>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</si>
  <si>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</si>
  <si>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</si>
  <si>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</si>
  <si>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</si>
  <si>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</si>
  <si>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</si>
  <si>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</si>
  <si>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</si>
  <si>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</si>
  <si>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</si>
  <si>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</si>
  <si>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</si>
  <si>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</si>
  <si>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</si>
  <si>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</si>
  <si>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</si>
  <si>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</si>
  <si>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</si>
  <si>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</si>
  <si>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</si>
  <si>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</si>
  <si>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</si>
  <si>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</si>
  <si>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</si>
  <si>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</si>
  <si>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</si>
  <si>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</si>
  <si>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</si>
  <si>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</si>
  <si>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interest</t>
  </si>
  <si>
    <t>08/05</t>
  </si>
  <si>
    <t>8/20</t>
  </si>
  <si>
    <t>Milton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</si>
</sst>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72" sqref="H672"/>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359</v>
      </c>
      <c r="C2" s="21">
        <v>359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694636.25</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432944.44000000006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22362.71</v>
      </c>
      <c r="H13" s="18">
        <v>191131.88</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3732.64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698368.89</v>
      </c>
      <c r="G19" s="41">
        <f>SUM(G9:G18)</f>
        <v>22362.71</v>
      </c>
      <c r="H19" s="41">
        <f>SUM(H9:H18)</f>
        <v>191131.88</v>
      </c>
      <c r="I19" s="41">
        <f>SUM(I9:I18)</f>
        <v>0</v>
      </c>
      <c r="J19" s="41">
        <f>SUM(J9:J18)</f>
        <v>432944.44000000006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-197957.93</v>
      </c>
      <c r="G22" s="18">
        <v>15960.45</v>
      </c>
      <c r="H22" s="18">
        <v>181997.48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7974.62+104-87822.9-476.15+2557.46</f>
        <v>-77662.969999999987</v>
      </c>
      <c r="G24" s="18">
        <v>6402.26</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269866.19+6909.58</f>
        <v>276775.77</v>
      </c>
      <c r="G28" s="18"/>
      <c r="H28" s="18">
        <v>6634.4</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2500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1154.8700000000536</v>
      </c>
      <c r="G32" s="41">
        <f>SUM(G22:G31)</f>
        <v>22362.71</v>
      </c>
      <c r="H32" s="41">
        <f>SUM(H22:H31)</f>
        <v>191131.88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432944.43999999994</v>
      </c>
      <c r="K48" s="24" t="s">
        <v>288</v>
      </c>
      <c r="L48" s="24" t="s">
        <v>288</v>
      </c>
      <c r="M48" s="8"/>
      <c r="N48" s="264"/>
    </row>
    <row r="49" spans="1:14" s="3" customFormat="1" ht="12.2" customHeight="1" x14ac:dyDescent="0.15">
      <c r="A49" s="1" t="s">
        <v>859</v>
      </c>
      <c r="B49" s="2" t="s">
        <v>289</v>
      </c>
      <c r="C49" s="6">
        <v>34</v>
      </c>
      <c r="D49" s="2"/>
      <c r="E49" s="6">
        <v>753</v>
      </c>
      <c r="F49" s="18">
        <v>275931.46000000002</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296282.56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697214.02</v>
      </c>
      <c r="G51" s="41">
        <f>SUM(G35:G50)</f>
        <v>0</v>
      </c>
      <c r="H51" s="41">
        <f>SUM(H35:H50)</f>
        <v>0</v>
      </c>
      <c r="I51" s="41">
        <f>SUM(I35:I50)</f>
        <v>0</v>
      </c>
      <c r="J51" s="41">
        <f>SUM(J35:J50)</f>
        <v>432944.43999999994</v>
      </c>
      <c r="K51" s="45" t="s">
        <v>288</v>
      </c>
      <c r="L51" s="45" t="s">
        <v>288</v>
      </c>
      <c r="N51" s="262"/>
    </row>
    <row r="52" spans="1:14" s="3" customFormat="1" ht="12.2" customHeight="1" thickTop="1" x14ac:dyDescent="0.15">
      <c r="A52" s="38" t="s">
        <v>455</v>
      </c>
      <c r="B52" s="39" t="s">
        <v>289</v>
      </c>
      <c r="C52" s="6">
        <v>37</v>
      </c>
      <c r="D52" s="39" t="s">
        <v>653</v>
      </c>
      <c r="E52" s="39"/>
      <c r="F52" s="41">
        <f>F51+F32</f>
        <v>698368.89000000013</v>
      </c>
      <c r="G52" s="41">
        <f>G51+G32</f>
        <v>22362.71</v>
      </c>
      <c r="H52" s="41">
        <f>H51+H32</f>
        <v>191131.88</v>
      </c>
      <c r="I52" s="41">
        <f>I51+I32</f>
        <v>0</v>
      </c>
      <c r="J52" s="41">
        <f>J51+J32</f>
        <v>432944.43999999994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6506676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6506676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1511.81</v>
      </c>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1511.81</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7606.6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29923.8</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10+51.77</f>
        <v>61.77</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29985.57</v>
      </c>
      <c r="G111" s="41">
        <f>SUM(G96:G110)</f>
        <v>7606.6</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6538173.3799999999</v>
      </c>
      <c r="G112" s="41">
        <f>G60+G111</f>
        <v>7606.6</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2799036.83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896930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3695966.83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43592.25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6834.15</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3007.58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v>15425.87</v>
      </c>
      <c r="H135" s="18">
        <f>64309.4+48589.04+28914.44+29145.28+1268</f>
        <v>172226.16</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50426.400000000001</v>
      </c>
      <c r="G136" s="41">
        <f>SUM(G123:G135)</f>
        <v>18433.45</v>
      </c>
      <c r="H136" s="41">
        <f>SUM(H123:H135)</f>
        <v>172226.16</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3746393.23</v>
      </c>
      <c r="G140" s="41">
        <f>G121+SUM(G136:G137)</f>
        <v>18433.45</v>
      </c>
      <c r="H140" s="41">
        <f>H121+SUM(H136:H139)</f>
        <v>172226.16</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v>50000</v>
      </c>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50000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15927.24+19958.68+30016.77+80864.9+53248.36+23011.28</f>
        <v>223027.23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7843.09+14955+1645.99</f>
        <v>24444.080000000002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171280.24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11576.75+37386.17+4999.55+97051.31+5158.44+3120+4000</f>
        <v>163292.22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82684.479999999996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141052.47+98400+10500</f>
        <v>249952.47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72897.45+83241.95</f>
        <v>156139.4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82684.479999999996</v>
      </c>
      <c r="G163" s="41">
        <f>SUM(G150:G162)</f>
        <v>171280.24</v>
      </c>
      <c r="H163" s="41">
        <f>SUM(H150:H162)</f>
        <v>816855.4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82684.479999999996</v>
      </c>
      <c r="G170" s="41">
        <f>G147+G163+SUM(G164:G169)</f>
        <v>171280.24</v>
      </c>
      <c r="H170" s="41">
        <f>H147+H163+SUM(H164:H169)</f>
        <v>866855.4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39354.97</v>
      </c>
      <c r="H180" s="18"/>
      <c r="I180" s="18"/>
      <c r="J180" s="18">
        <v>125000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39354.97</v>
      </c>
      <c r="H184" s="41">
        <f>SUM(H180:H183)</f>
        <v>0</v>
      </c>
      <c r="I184" s="41">
        <f>SUM(I180:I183)</f>
        <v>0</v>
      </c>
      <c r="J184" s="41">
        <f>SUM(J180:J183)</f>
        <v>125000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39354.97</v>
      </c>
      <c r="H193" s="41">
        <f>+H184+SUM(H189:H192)</f>
        <v>0</v>
      </c>
      <c r="I193" s="41">
        <f>I178+I184+SUM(I189:I192)</f>
        <v>0</v>
      </c>
      <c r="J193" s="41">
        <f>J184</f>
        <v>125000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10367251.09</v>
      </c>
      <c r="G194" s="47">
        <f>G112+G140+G170+G193</f>
        <v>236675.25999999998</v>
      </c>
      <c r="H194" s="47">
        <f>H112+H140+H170+H193</f>
        <v>1039081.56</v>
      </c>
      <c r="I194" s="47">
        <f>I112+I140+I170+I193</f>
        <v>0</v>
      </c>
      <c r="J194" s="47">
        <f>J112+J140+J193</f>
        <v>125000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858681.16+27074.43+11630.01</f>
        <v>897385.60000000009</v>
      </c>
      <c r="G198" s="18">
        <f>221863.77+5040.44+8261.74+834.5+2119.76+62512.4+2539.9+885.43+147419.75+2332.63+265.39+8000.53</f>
        <v>462076.24000000005</v>
      </c>
      <c r="H198" s="18">
        <f>21000</f>
        <v>21000</v>
      </c>
      <c r="I198" s="18">
        <f>8456.56+663.55</f>
        <v>9120.1099999999988</v>
      </c>
      <c r="J198" s="18">
        <f>1252.35+1946.32+1794.1</f>
        <v>4992.7700000000004</v>
      </c>
      <c r="K198" s="18"/>
      <c r="L198" s="19">
        <f>SUM(F198:K198)</f>
        <v>1394574.7200000002</v>
      </c>
      <c r="M198" s="8"/>
      <c r="N198" s="264"/>
    </row>
    <row r="199" spans="1:14" s="3" customFormat="1" ht="12.2" customHeight="1" x14ac:dyDescent="0.15">
      <c r="A199" s="1" t="s">
        <v>439</v>
      </c>
      <c r="B199" s="2" t="s">
        <v>341</v>
      </c>
      <c r="C199" s="2" t="s">
        <v>291</v>
      </c>
      <c r="D199" s="2" t="s">
        <v>431</v>
      </c>
      <c r="E199" s="6">
        <v>1200</v>
      </c>
      <c r="F199" s="18">
        <f>35632+164701.05+110932.11+71878.23+28750.34+8364.7+130915.9+4772.33+2093.75</f>
        <v>558040.40999999992</v>
      </c>
      <c r="G199" s="18">
        <f>41533.26+84511+39053.03+1762.2+482.2+134.34+52.76+404.37+87.32+2677.58+11513.61+9708.64+5616.98+1833.2+365.08+160.17+607.35+9676.7+6342.52+29380.24+12127.8+8028.84+4276.17+356+372.69+934.37+14623.4+4975.14</f>
        <v>291596.96000000008</v>
      </c>
      <c r="H199" s="18">
        <f>145276.91+1227+1108.32+345296.86+91005.33+5429.89+1378.4</f>
        <v>590722.71</v>
      </c>
      <c r="I199" s="18">
        <f>967.79+371.5+95.97</f>
        <v>1435.26</v>
      </c>
      <c r="J199" s="18">
        <f>553.97</f>
        <v>553.97</v>
      </c>
      <c r="K199" s="18">
        <f>312</f>
        <v>312</v>
      </c>
      <c r="L199" s="19">
        <f>SUM(F199:K199)</f>
        <v>1442661.31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8400</f>
        <v>8400</v>
      </c>
      <c r="G201" s="18">
        <f>642.64+1362.28+74.89</f>
        <v>2079.81</v>
      </c>
      <c r="H201" s="18"/>
      <c r="I201" s="18">
        <f>1009.75</f>
        <v>1009.75</v>
      </c>
      <c r="J201" s="18"/>
      <c r="K201" s="18"/>
      <c r="L201" s="19">
        <f>SUM(F201:K201)</f>
        <v>11489.56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59710+52892</f>
        <v>112602</v>
      </c>
      <c r="G203" s="18">
        <f>4000+296.22+53.26+100.54+4757.67+10566.87+4000+52.76+127.75+4352.12+9414.87+1003.89</f>
        <v>38725.949999999997</v>
      </c>
      <c r="H203" s="18">
        <f>2900+65</f>
        <v>2965</v>
      </c>
      <c r="I203" s="18">
        <f>481.4</f>
        <v>481.4</v>
      </c>
      <c r="J203" s="18">
        <f>111.5</f>
        <v>111.5</v>
      </c>
      <c r="K203" s="18">
        <v>45</v>
      </c>
      <c r="L203" s="19">
        <f t="shared" ref="L203:L209" si="0">SUM(F203:K203)</f>
        <v>154930.85</v>
      </c>
      <c r="M203" s="8"/>
      <c r="N203" s="264"/>
    </row>
    <row r="204" spans="1:14" s="3" customFormat="1" ht="12.2" customHeight="1" x14ac:dyDescent="0.15">
      <c r="A204" s="1" t="s">
        <v>443</v>
      </c>
      <c r="B204" s="2" t="s">
        <v>341</v>
      </c>
      <c r="C204" s="2" t="s">
        <v>295</v>
      </c>
      <c r="D204" s="2" t="s">
        <v>431</v>
      </c>
      <c r="E204" s="6">
        <v>2200</v>
      </c>
      <c r="F204" s="18">
        <f>38844</f>
        <v>38844</v>
      </c>
      <c r="G204" s="18">
        <f>26063.34+8834.4+592.44+52.76+95.16+2898.63+6914.21+346.31</f>
        <v>45797.25</v>
      </c>
      <c r="H204" s="18">
        <f>1986.4</f>
        <v>1986.4</v>
      </c>
      <c r="I204" s="18">
        <f>391.22+499.12+891.93+3492.4</f>
        <v>5274.67</v>
      </c>
      <c r="J204" s="18"/>
      <c r="K204" s="18"/>
      <c r="L204" s="19">
        <f t="shared" si="0"/>
        <v>91902.319999999992</v>
      </c>
      <c r="M204" s="8"/>
      <c r="N204" s="264"/>
    </row>
    <row r="205" spans="1:14" s="3" customFormat="1" ht="12.2" customHeight="1" x14ac:dyDescent="0.15">
      <c r="A205" s="1" t="s">
        <v>444</v>
      </c>
      <c r="B205" s="2" t="s">
        <v>341</v>
      </c>
      <c r="C205" s="2" t="s">
        <v>296</v>
      </c>
      <c r="D205" s="2" t="s">
        <v>431</v>
      </c>
      <c r="E205" s="6">
        <v>2300</v>
      </c>
      <c r="F205" s="18">
        <f>2600+224+1200+1881.6+150+115975.12</f>
        <v>122030.72</v>
      </c>
      <c r="G205" s="18">
        <f>198.86+17.12+91.8+143.93+11.47+38944.82+1087.95</f>
        <v>40495.949999999997</v>
      </c>
      <c r="H205" s="18">
        <f>20672.2+6590.9+836.31+1634.55+7705.63</f>
        <v>37439.589999999997</v>
      </c>
      <c r="I205" s="18">
        <f>1270.41</f>
        <v>1270.4100000000001</v>
      </c>
      <c r="J205" s="18"/>
      <c r="K205" s="18">
        <f>1504.41+1002.07</f>
        <v>2506.48</v>
      </c>
      <c r="L205" s="19">
        <f t="shared" si="0"/>
        <v>203743.15</v>
      </c>
      <c r="M205" s="8"/>
      <c r="N205" s="264"/>
    </row>
    <row r="206" spans="1:14" s="3" customFormat="1" ht="12.2" customHeight="1" x14ac:dyDescent="0.15">
      <c r="A206" s="1" t="s">
        <v>445</v>
      </c>
      <c r="B206" s="2" t="s">
        <v>341</v>
      </c>
      <c r="C206" s="2" t="s">
        <v>297</v>
      </c>
      <c r="D206" s="2" t="s">
        <v>431</v>
      </c>
      <c r="E206" s="6">
        <v>2400</v>
      </c>
      <c r="F206" s="18">
        <f>87393.6+58640</f>
        <v>146033.60000000001</v>
      </c>
      <c r="G206" s="18">
        <f>24657.48+15618.2+528.01+61.72+234.68+6409.79+4656.58+3.88+15556.07+6550.05+1301.94</f>
        <v>75578.400000000009</v>
      </c>
      <c r="H206" s="18">
        <f>159+4781.2+8018.45+2793.02</f>
        <v>15751.67</v>
      </c>
      <c r="I206" s="18">
        <f>5684.84+451</f>
        <v>6135.84</v>
      </c>
      <c r="J206" s="18"/>
      <c r="K206" s="18">
        <f>795</f>
        <v>795</v>
      </c>
      <c r="L206" s="19">
        <f t="shared" si="0"/>
        <v>244294.51</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29141.05+65135.61+5993.55</f>
        <v>100270.21</v>
      </c>
      <c r="G208" s="18">
        <f>33535.4+289.32+2209.22+4862.81+452.18+3255.2+7052.28+240.81+893.95</f>
        <v>52791.169999999991</v>
      </c>
      <c r="H208" s="18">
        <f>1558+4220.2+7505.26+1788.63+20997.91+10910.5+30128.6+21400</f>
        <v>98509.1</v>
      </c>
      <c r="I208" s="18">
        <f>7441.06+31341.97+3799.6+12854.79</f>
        <v>55437.42</v>
      </c>
      <c r="J208" s="18"/>
      <c r="K208" s="18"/>
      <c r="L208" s="19">
        <f t="shared" si="0"/>
        <v>307007.90000000002</v>
      </c>
      <c r="M208" s="8"/>
      <c r="N208" s="264"/>
    </row>
    <row r="209" spans="1:14" s="3" customFormat="1" ht="12.2" customHeight="1" x14ac:dyDescent="0.15">
      <c r="A209" s="1" t="s">
        <v>448</v>
      </c>
      <c r="B209" s="2" t="s">
        <v>341</v>
      </c>
      <c r="C209" s="2" t="s">
        <v>300</v>
      </c>
      <c r="D209" s="2" t="s">
        <v>431</v>
      </c>
      <c r="E209" s="6">
        <v>2700</v>
      </c>
      <c r="F209" s="18">
        <f>40777.09+37182.53+10700</f>
        <v>88659.62</v>
      </c>
      <c r="G209" s="18">
        <f>28628.53+231.46+3228.7+2844.45+649.74+2371.99+2103.84+790.43</f>
        <v>40849.139999999992</v>
      </c>
      <c r="H209" s="18">
        <f>919.03+32652.61+22199.28+2145.9+26950</f>
        <v>84866.82</v>
      </c>
      <c r="I209" s="18">
        <f>652.47+12448.72</f>
        <v>13101.189999999999</v>
      </c>
      <c r="J209" s="18">
        <f>442+412.8</f>
        <v>854.8</v>
      </c>
      <c r="K209" s="18">
        <f>401.78</f>
        <v>401.78</v>
      </c>
      <c r="L209" s="19">
        <f t="shared" si="0"/>
        <v>228733.34999999998</v>
      </c>
      <c r="M209" s="8"/>
      <c r="N209" s="264"/>
    </row>
    <row r="210" spans="1:14" s="3" customFormat="1" ht="12.2" customHeight="1" x14ac:dyDescent="0.15">
      <c r="A210" s="1" t="s">
        <v>449</v>
      </c>
      <c r="B210" s="2" t="s">
        <v>341</v>
      </c>
      <c r="C210" s="2" t="s">
        <v>343</v>
      </c>
      <c r="D210" s="2" t="s">
        <v>431</v>
      </c>
      <c r="E210" s="6">
        <v>2800</v>
      </c>
      <c r="F210" s="18"/>
      <c r="G210" s="18"/>
      <c r="H210" s="18">
        <f>24809.42+44+9394.47</f>
        <v>34247.89</v>
      </c>
      <c r="I210" s="18">
        <f>11826.13+2632.58</f>
        <v>14458.71</v>
      </c>
      <c r="J210" s="18">
        <f>921.16+326.92</f>
        <v>1248.08</v>
      </c>
      <c r="K210" s="18"/>
      <c r="L210" s="19">
        <f>SUM(F210:K210)</f>
        <v>49954.68</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2072266.1600000001</v>
      </c>
      <c r="G212" s="41">
        <f t="shared" si="1"/>
        <v>1049990.8700000001</v>
      </c>
      <c r="H212" s="41">
        <f t="shared" si="1"/>
        <v>887489.18</v>
      </c>
      <c r="I212" s="41">
        <f t="shared" si="1"/>
        <v>107724.76000000001</v>
      </c>
      <c r="J212" s="41">
        <f t="shared" si="1"/>
        <v>7761.1200000000008</v>
      </c>
      <c r="K212" s="41">
        <f t="shared" si="1"/>
        <v>4060.26</v>
      </c>
      <c r="L212" s="41">
        <f t="shared" si="1"/>
        <v>4129292.35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426252.63+13675.43</f>
        <v>439928.06</v>
      </c>
      <c r="G216" s="18">
        <f>89476.73+4839.46+464.78+1080.58+32914.67+1044.55+76947.28+553.82+4680.45</f>
        <v>212002.32</v>
      </c>
      <c r="H216" s="18">
        <f>3169.04+18835.3+462.14+16.68</f>
        <v>22483.16</v>
      </c>
      <c r="I216" s="18">
        <f>7906.29+2722.48+230</f>
        <v>10858.77</v>
      </c>
      <c r="J216" s="18">
        <f>1362.13+751.99+35.06</f>
        <v>2149.1799999999998</v>
      </c>
      <c r="K216" s="18">
        <f>390</f>
        <v>390</v>
      </c>
      <c r="L216" s="19">
        <f>SUM(F216:K216)</f>
        <v>687811.49000000011</v>
      </c>
      <c r="M216" s="8"/>
      <c r="N216" s="264"/>
    </row>
    <row r="217" spans="1:14" s="3" customFormat="1" ht="12.2" customHeight="1" x14ac:dyDescent="0.15">
      <c r="A217" s="1" t="s">
        <v>439</v>
      </c>
      <c r="B217" s="2" t="s">
        <v>346</v>
      </c>
      <c r="C217" s="2" t="s">
        <v>291</v>
      </c>
      <c r="D217" s="2" t="s">
        <v>431</v>
      </c>
      <c r="E217" s="6">
        <v>1200</v>
      </c>
      <c r="F217" s="18">
        <f>83027.92+91737.56+17250.56+8362.03</f>
        <v>200378.06999999998</v>
      </c>
      <c r="G217" s="18">
        <f>15181.28+77010.24+169.58+114.7+199.65+6718.75+7048.51+1103.96+607.15+14778.95+10247.15+2565.7+934.06+2131.85</f>
        <v>138811.53</v>
      </c>
      <c r="H217" s="18">
        <f>61545.13+1108.32+402039.34+953+425.4+827.04</f>
        <v>466898.23000000004</v>
      </c>
      <c r="I217" s="18">
        <f>198.64</f>
        <v>198.64</v>
      </c>
      <c r="J217" s="18">
        <f>990</f>
        <v>990</v>
      </c>
      <c r="K217" s="18">
        <v>187.2</v>
      </c>
      <c r="L217" s="19">
        <f>SUM(F217:K217)</f>
        <v>807463.67</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11600+7110+646+1151.04</f>
        <v>20507.04</v>
      </c>
      <c r="G219" s="18">
        <f>886.7+543.92+48.31+88.05+706.77+1117.26+61.86+218.18</f>
        <v>3671.05</v>
      </c>
      <c r="H219" s="18">
        <f>1186.4</f>
        <v>1186.4000000000001</v>
      </c>
      <c r="I219" s="18">
        <f>261</f>
        <v>261</v>
      </c>
      <c r="J219" s="18"/>
      <c r="K219" s="18">
        <f>217.5</f>
        <v>217.5</v>
      </c>
      <c r="L219" s="19">
        <f>SUM(F219:K219)</f>
        <v>25842.99</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55335.19+10630.4+16772.77</f>
        <v>82738.36</v>
      </c>
      <c r="G221" s="18">
        <f>21500.04+383.94+52.76+140.57+3565.65+806.5+9849.62+1187.41+1600+21.1+42.05+1405.58+2985.51+880.26</f>
        <v>44420.990000000013</v>
      </c>
      <c r="H221" s="18">
        <f>1563</f>
        <v>1563</v>
      </c>
      <c r="I221" s="18">
        <f>71.56</f>
        <v>71.56</v>
      </c>
      <c r="J221" s="18"/>
      <c r="K221" s="18">
        <f>179</f>
        <v>179</v>
      </c>
      <c r="L221" s="19">
        <f t="shared" ref="L221:L227" si="2">SUM(F221:K221)</f>
        <v>128972.91</v>
      </c>
      <c r="M221" s="8"/>
      <c r="N221" s="264"/>
    </row>
    <row r="222" spans="1:14" s="3" customFormat="1" ht="12.2" customHeight="1" x14ac:dyDescent="0.15">
      <c r="A222" s="1" t="s">
        <v>443</v>
      </c>
      <c r="B222" s="2" t="s">
        <v>346</v>
      </c>
      <c r="C222" s="2" t="s">
        <v>295</v>
      </c>
      <c r="D222" s="2" t="s">
        <v>431</v>
      </c>
      <c r="E222" s="6">
        <v>2200</v>
      </c>
      <c r="F222" s="18">
        <f>23989.34</f>
        <v>23989.34</v>
      </c>
      <c r="G222" s="18">
        <f>3716.39+3999.98+236.98+21.3+40.05+1781.76+4270.11+255.23</f>
        <v>14321.8</v>
      </c>
      <c r="H222" s="18">
        <f>8593.8+135</f>
        <v>8728.7999999999993</v>
      </c>
      <c r="I222" s="18">
        <f>180+2292.25+1570.49+2250.87</f>
        <v>6293.61</v>
      </c>
      <c r="J222" s="18"/>
      <c r="K222" s="18"/>
      <c r="L222" s="19">
        <f t="shared" si="2"/>
        <v>53333.55</v>
      </c>
      <c r="M222" s="8"/>
      <c r="N222" s="264"/>
    </row>
    <row r="223" spans="1:14" s="3" customFormat="1" ht="12.2" customHeight="1" x14ac:dyDescent="0.15">
      <c r="A223" s="1" t="s">
        <v>444</v>
      </c>
      <c r="B223" s="2" t="s">
        <v>346</v>
      </c>
      <c r="C223" s="2" t="s">
        <v>296</v>
      </c>
      <c r="D223" s="2" t="s">
        <v>431</v>
      </c>
      <c r="E223" s="6">
        <v>2300</v>
      </c>
      <c r="F223" s="18">
        <f>1560+2073.36+69585.07</f>
        <v>73218.430000000008</v>
      </c>
      <c r="G223" s="18">
        <f>277.94+23366.89+778.98</f>
        <v>24423.809999999998</v>
      </c>
      <c r="H223" s="18">
        <f>17766.6+4623.38</f>
        <v>22389.98</v>
      </c>
      <c r="I223" s="18">
        <f>762.25</f>
        <v>762.25</v>
      </c>
      <c r="J223" s="18"/>
      <c r="K223" s="18">
        <f>902.64+601.24</f>
        <v>1503.88</v>
      </c>
      <c r="L223" s="19">
        <f t="shared" si="2"/>
        <v>122298.35</v>
      </c>
      <c r="M223" s="8"/>
      <c r="N223" s="264"/>
    </row>
    <row r="224" spans="1:14" s="3" customFormat="1" ht="12.2" customHeight="1" x14ac:dyDescent="0.15">
      <c r="A224" s="1" t="s">
        <v>445</v>
      </c>
      <c r="B224" s="2" t="s">
        <v>346</v>
      </c>
      <c r="C224" s="2" t="s">
        <v>297</v>
      </c>
      <c r="D224" s="2" t="s">
        <v>431</v>
      </c>
      <c r="E224" s="6">
        <v>2400</v>
      </c>
      <c r="F224" s="18">
        <f>37535.95+21587.2+27999.9</f>
        <v>87123.049999999988</v>
      </c>
      <c r="G224" s="18">
        <f>17282.16+6247.28+379.92+42.61+163.2+2871.44+1835.43+1981.41+6681.48+2411.29+4983.94+926.91</f>
        <v>45807.07</v>
      </c>
      <c r="H224" s="18">
        <f>159+2602.46+704.65</f>
        <v>3466.11</v>
      </c>
      <c r="I224" s="18">
        <f>885.92</f>
        <v>885.92</v>
      </c>
      <c r="J224" s="18"/>
      <c r="K224" s="18">
        <f>544.65</f>
        <v>544.65</v>
      </c>
      <c r="L224" s="19">
        <f t="shared" si="2"/>
        <v>137826.79999999999</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f>58013.92</f>
        <v>58013.919999999998</v>
      </c>
      <c r="G226" s="18">
        <f>22409.06+617.22</f>
        <v>23026.280000000002</v>
      </c>
      <c r="H226" s="18">
        <f>52934.24+12840</f>
        <v>65774.239999999991</v>
      </c>
      <c r="I226" s="18">
        <f>41136.82</f>
        <v>41136.82</v>
      </c>
      <c r="J226" s="18"/>
      <c r="K226" s="18"/>
      <c r="L226" s="19">
        <f t="shared" si="2"/>
        <v>187951.26</v>
      </c>
      <c r="M226" s="8"/>
      <c r="N226" s="264"/>
    </row>
    <row r="227" spans="1:14" s="3" customFormat="1" ht="12.2" customHeight="1" x14ac:dyDescent="0.15">
      <c r="A227" s="1" t="s">
        <v>448</v>
      </c>
      <c r="B227" s="2" t="s">
        <v>346</v>
      </c>
      <c r="C227" s="2" t="s">
        <v>300</v>
      </c>
      <c r="D227" s="2" t="s">
        <v>431</v>
      </c>
      <c r="E227" s="6">
        <v>2700</v>
      </c>
      <c r="F227" s="18">
        <f>55772.04+241.67</f>
        <v>56013.71</v>
      </c>
      <c r="G227" s="18">
        <f>24436.04+18.4+11.72+595.94</f>
        <v>25062.100000000002</v>
      </c>
      <c r="H227" s="18">
        <f>34920.55+231.25</f>
        <v>35151.800000000003</v>
      </c>
      <c r="I227" s="18">
        <f>7657.36</f>
        <v>7657.36</v>
      </c>
      <c r="J227" s="18">
        <f>512.88</f>
        <v>512.88</v>
      </c>
      <c r="K227" s="18">
        <f>241.06</f>
        <v>241.06</v>
      </c>
      <c r="L227" s="19">
        <f t="shared" si="2"/>
        <v>124638.91</v>
      </c>
      <c r="M227" s="8"/>
      <c r="N227" s="264"/>
    </row>
    <row r="228" spans="1:14" s="3" customFormat="1" ht="12.2" customHeight="1" x14ac:dyDescent="0.15">
      <c r="A228" s="1" t="s">
        <v>449</v>
      </c>
      <c r="B228" s="2" t="s">
        <v>346</v>
      </c>
      <c r="C228" s="2" t="s">
        <v>343</v>
      </c>
      <c r="D228" s="2" t="s">
        <v>431</v>
      </c>
      <c r="E228" s="6">
        <v>2800</v>
      </c>
      <c r="F228" s="18"/>
      <c r="G228" s="18"/>
      <c r="H228" s="18">
        <f>20996.67+66+1879.91+5636.68</f>
        <v>28579.26</v>
      </c>
      <c r="I228" s="18">
        <f>1579.55</f>
        <v>1579.55</v>
      </c>
      <c r="J228" s="18"/>
      <c r="K228" s="18"/>
      <c r="L228" s="19">
        <f>SUM(F228:K228)</f>
        <v>30158.809999999998</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1041909.9800000001</v>
      </c>
      <c r="G230" s="41">
        <f>SUM(G216:G229)</f>
        <v>531546.94999999995</v>
      </c>
      <c r="H230" s="41">
        <f>SUM(H216:H229)</f>
        <v>656220.9800000001</v>
      </c>
      <c r="I230" s="41">
        <f>SUM(I216:I229)</f>
        <v>69705.48</v>
      </c>
      <c r="J230" s="41">
        <f>SUM(J216:J229)</f>
        <v>3652.06</v>
      </c>
      <c r="K230" s="41">
        <f t="shared" si="3"/>
        <v>3263.29</v>
      </c>
      <c r="L230" s="41">
        <f t="shared" si="3"/>
        <v>2306298.7400000007</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547067.27+16051.45</f>
        <v>563118.72</v>
      </c>
      <c r="G234" s="18">
        <f>511.24+97947.44+1226.84+39266.03+1368.46+615.45+5681.98+151150.94+6275.72</f>
        <v>304044.09999999998</v>
      </c>
      <c r="H234" s="18">
        <f>24566.08+450+860+123.96</f>
        <v>26000.04</v>
      </c>
      <c r="I234" s="18">
        <f>11861.97+66.45+3750.12+2965</f>
        <v>18643.54</v>
      </c>
      <c r="J234" s="18">
        <f>3258.12+527.28+512.5</f>
        <v>4297.8999999999996</v>
      </c>
      <c r="K234" s="18">
        <f>739</f>
        <v>739</v>
      </c>
      <c r="L234" s="19">
        <f>SUM(F234:K234)</f>
        <v>916843.3</v>
      </c>
      <c r="M234" s="8"/>
      <c r="N234" s="264"/>
    </row>
    <row r="235" spans="1:14" s="3" customFormat="1" ht="12.2" customHeight="1" x14ac:dyDescent="0.15">
      <c r="A235" s="1" t="s">
        <v>439</v>
      </c>
      <c r="B235" s="2" t="s">
        <v>350</v>
      </c>
      <c r="C235" s="2" t="s">
        <v>291</v>
      </c>
      <c r="D235" s="2" t="s">
        <v>431</v>
      </c>
      <c r="E235" s="6">
        <v>1200</v>
      </c>
      <c r="F235" s="18">
        <f>2000+8361.34+25756.1+120213.19+101081.04</f>
        <v>257411.66999999998</v>
      </c>
      <c r="G235" s="18">
        <f>13750.6+17175.96+1090.06+120.03+290.39+8125.34+9747.97+1651.93+153+607.2+17801.4+13427.88+3848.52+356+933.94+2868.74</f>
        <v>91948.960000000021</v>
      </c>
      <c r="H235" s="18">
        <f>310.8+270611.47+36879.57+1108.36+45286.02+638.1+1240.56</f>
        <v>356074.87999999995</v>
      </c>
      <c r="I235" s="18">
        <f>314.85</f>
        <v>314.85000000000002</v>
      </c>
      <c r="J235" s="18"/>
      <c r="K235" s="18">
        <v>280.8</v>
      </c>
      <c r="L235" s="19">
        <f>SUM(F235:K235)</f>
        <v>706031.16</v>
      </c>
      <c r="M235" s="8"/>
      <c r="N235" s="264"/>
    </row>
    <row r="236" spans="1:14" s="3" customFormat="1" ht="12.2" customHeight="1" x14ac:dyDescent="0.15">
      <c r="A236" s="1" t="s">
        <v>440</v>
      </c>
      <c r="B236" s="2" t="s">
        <v>350</v>
      </c>
      <c r="C236" s="2" t="s">
        <v>292</v>
      </c>
      <c r="D236" s="2" t="s">
        <v>431</v>
      </c>
      <c r="E236" s="6">
        <v>1300</v>
      </c>
      <c r="F236" s="18">
        <f>54344</f>
        <v>54344</v>
      </c>
      <c r="G236" s="18">
        <f>4000+493.7+52.76+137.45+4463.38+9673.28+605.64</f>
        <v>19426.21</v>
      </c>
      <c r="H236" s="18">
        <f>24546.09</f>
        <v>24546.09</v>
      </c>
      <c r="I236" s="18"/>
      <c r="J236" s="18"/>
      <c r="K236" s="18"/>
      <c r="L236" s="19">
        <f>SUM(F236:K236)</f>
        <v>98316.299999999988</v>
      </c>
      <c r="M236" s="8"/>
      <c r="N236" s="264"/>
    </row>
    <row r="237" spans="1:14" s="3" customFormat="1" ht="12.2" customHeight="1" x14ac:dyDescent="0.15">
      <c r="A237" s="1" t="s">
        <v>441</v>
      </c>
      <c r="B237" s="2" t="s">
        <v>350</v>
      </c>
      <c r="C237" s="2" t="s">
        <v>293</v>
      </c>
      <c r="D237" s="2" t="s">
        <v>431</v>
      </c>
      <c r="E237" s="6">
        <v>1400</v>
      </c>
      <c r="F237" s="18">
        <f>19550+15390+390</f>
        <v>35330</v>
      </c>
      <c r="G237" s="18">
        <f>1493.72+1177.32+29.43+1202.4+2383.12+60.47+393.74</f>
        <v>6740.2</v>
      </c>
      <c r="H237" s="18">
        <f>5529.6</f>
        <v>5529.6</v>
      </c>
      <c r="I237" s="18">
        <f>2517.66+67.63</f>
        <v>2585.29</v>
      </c>
      <c r="J237" s="18">
        <f>208.9</f>
        <v>208.9</v>
      </c>
      <c r="K237" s="18">
        <f>1567.5</f>
        <v>1567.5</v>
      </c>
      <c r="L237" s="19">
        <f>SUM(F237:K237)</f>
        <v>51961.49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59432.43+15945.6+25159.23</f>
        <v>100537.26</v>
      </c>
      <c r="G239" s="18">
        <f>1781.2+10579.05+1210.05+3764.97+100.71+53.26+592.44+575.91+21500.04+2400+31.66+63.17+2108.09+4478.36+1120.45</f>
        <v>50359.360000000001</v>
      </c>
      <c r="H239" s="18">
        <f>1140.8</f>
        <v>1140.8</v>
      </c>
      <c r="I239" s="18">
        <f>194.76+176.79+650+111.14</f>
        <v>1132.69</v>
      </c>
      <c r="J239" s="18"/>
      <c r="K239" s="18">
        <f>179</f>
        <v>179</v>
      </c>
      <c r="L239" s="19">
        <f t="shared" ref="L239:L245" si="4">SUM(F239:K239)</f>
        <v>153349.10999999999</v>
      </c>
      <c r="M239" s="8"/>
      <c r="N239" s="264"/>
    </row>
    <row r="240" spans="1:14" s="3" customFormat="1" ht="12.2" customHeight="1" x14ac:dyDescent="0.15">
      <c r="A240" s="1" t="s">
        <v>443</v>
      </c>
      <c r="B240" s="2" t="s">
        <v>350</v>
      </c>
      <c r="C240" s="2" t="s">
        <v>295</v>
      </c>
      <c r="D240" s="2" t="s">
        <v>431</v>
      </c>
      <c r="E240" s="6">
        <v>2200</v>
      </c>
      <c r="F240" s="18">
        <f>35983.96</f>
        <v>35983.96</v>
      </c>
      <c r="G240" s="18">
        <f>23098.26+5999.98+355.46+31.96+60.07+2672.49+6405.1+401.03</f>
        <v>39024.349999999991</v>
      </c>
      <c r="H240" s="18">
        <f>1514.8</f>
        <v>1514.8</v>
      </c>
      <c r="I240" s="18">
        <f>237.15+411.45+2465.04</f>
        <v>3113.64</v>
      </c>
      <c r="J240" s="18"/>
      <c r="K240" s="18"/>
      <c r="L240" s="19">
        <f t="shared" si="4"/>
        <v>79636.75</v>
      </c>
      <c r="M240" s="8"/>
      <c r="N240" s="264"/>
    </row>
    <row r="241" spans="1:14" s="3" customFormat="1" ht="12.2" customHeight="1" x14ac:dyDescent="0.15">
      <c r="A241" s="1" t="s">
        <v>444</v>
      </c>
      <c r="B241" s="2" t="s">
        <v>350</v>
      </c>
      <c r="C241" s="2" t="s">
        <v>296</v>
      </c>
      <c r="D241" s="2" t="s">
        <v>431</v>
      </c>
      <c r="E241" s="6">
        <v>2300</v>
      </c>
      <c r="F241" s="18">
        <f>2340+3110.04+104377.61</f>
        <v>109827.65</v>
      </c>
      <c r="G241" s="18">
        <f>416.9+35050.34+1223.98</f>
        <v>36691.22</v>
      </c>
      <c r="H241" s="18">
        <f>26649.89+6935.07</f>
        <v>33584.959999999999</v>
      </c>
      <c r="I241" s="18">
        <f>1143.37</f>
        <v>1143.3699999999999</v>
      </c>
      <c r="J241" s="18"/>
      <c r="K241" s="18">
        <f>1353.96+901.86</f>
        <v>2255.8200000000002</v>
      </c>
      <c r="L241" s="19">
        <f t="shared" si="4"/>
        <v>183503.02</v>
      </c>
      <c r="M241" s="8"/>
      <c r="N241" s="264"/>
    </row>
    <row r="242" spans="1:14" s="3" customFormat="1" ht="12.2" customHeight="1" x14ac:dyDescent="0.15">
      <c r="A242" s="1" t="s">
        <v>445</v>
      </c>
      <c r="B242" s="2" t="s">
        <v>350</v>
      </c>
      <c r="C242" s="2" t="s">
        <v>297</v>
      </c>
      <c r="D242" s="2" t="s">
        <v>431</v>
      </c>
      <c r="E242" s="6">
        <v>2400</v>
      </c>
      <c r="F242" s="18">
        <f>56304.05+32380.8+42000.1</f>
        <v>130684.95000000001</v>
      </c>
      <c r="G242" s="18">
        <f>7476.03+3617.07+10021.97+2971.89+2705.08+4307.16+244.8+63.91+569.87+9370.92+25923.36+1456.43</f>
        <v>68728.489999999991</v>
      </c>
      <c r="H242" s="18">
        <f>159+3720.38+1049.57</f>
        <v>4928.95</v>
      </c>
      <c r="I242" s="18">
        <f>1063.34</f>
        <v>1063.3399999999999</v>
      </c>
      <c r="J242" s="18"/>
      <c r="K242" s="18">
        <f>1515.7</f>
        <v>1515.7</v>
      </c>
      <c r="L242" s="19">
        <f t="shared" si="4"/>
        <v>206921.43000000002</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87020.89</f>
        <v>87020.89</v>
      </c>
      <c r="G244" s="18">
        <f>33613.59+969.8</f>
        <v>34583.39</v>
      </c>
      <c r="H244" s="18">
        <f>79401.36+19260</f>
        <v>98661.36</v>
      </c>
      <c r="I244" s="18">
        <f>61705.24</f>
        <v>61705.24</v>
      </c>
      <c r="J244" s="18"/>
      <c r="K244" s="18"/>
      <c r="L244" s="19">
        <f t="shared" si="4"/>
        <v>281970.88</v>
      </c>
      <c r="M244" s="8"/>
      <c r="N244" s="264"/>
    </row>
    <row r="245" spans="1:14" s="3" customFormat="1" ht="12.2" customHeight="1" x14ac:dyDescent="0.15">
      <c r="A245" s="1" t="s">
        <v>448</v>
      </c>
      <c r="B245" s="2" t="s">
        <v>350</v>
      </c>
      <c r="C245" s="2" t="s">
        <v>300</v>
      </c>
      <c r="D245" s="2" t="s">
        <v>431</v>
      </c>
      <c r="E245" s="6">
        <v>2700</v>
      </c>
      <c r="F245" s="18">
        <f>83658.05+34065.93</f>
        <v>117723.98000000001</v>
      </c>
      <c r="G245" s="18">
        <f>36654.07+13597.17+2351.71+3700.01+1311.98</f>
        <v>57614.94</v>
      </c>
      <c r="H245" s="18">
        <f>52380.83</f>
        <v>52380.83</v>
      </c>
      <c r="I245" s="18">
        <f>11486.05</f>
        <v>11486.05</v>
      </c>
      <c r="J245" s="18">
        <f>769.32</f>
        <v>769.32</v>
      </c>
      <c r="K245" s="18">
        <f>361.6</f>
        <v>361.6</v>
      </c>
      <c r="L245" s="19">
        <f t="shared" si="4"/>
        <v>240336.72</v>
      </c>
      <c r="M245" s="8"/>
      <c r="N245" s="264"/>
    </row>
    <row r="246" spans="1:14" s="3" customFormat="1" ht="12.2" customHeight="1" x14ac:dyDescent="0.15">
      <c r="A246" s="1" t="s">
        <v>449</v>
      </c>
      <c r="B246" s="2" t="s">
        <v>350</v>
      </c>
      <c r="C246" s="2" t="s">
        <v>343</v>
      </c>
      <c r="D246" s="2" t="s">
        <v>431</v>
      </c>
      <c r="E246" s="6">
        <v>2800</v>
      </c>
      <c r="F246" s="18"/>
      <c r="G246" s="18"/>
      <c r="H246" s="18">
        <f>21748.19+2819.87+8455.02</f>
        <v>33023.08</v>
      </c>
      <c r="I246" s="18">
        <f>2369.32</f>
        <v>2369.3200000000002</v>
      </c>
      <c r="J246" s="18"/>
      <c r="K246" s="18"/>
      <c r="L246" s="19">
        <f>SUM(F246:K246)</f>
        <v>35392.400000000001</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1491983.0799999996</v>
      </c>
      <c r="G248" s="41">
        <f t="shared" si="5"/>
        <v>709161.22</v>
      </c>
      <c r="H248" s="41">
        <f t="shared" si="5"/>
        <v>637385.3899999999</v>
      </c>
      <c r="I248" s="41">
        <f t="shared" si="5"/>
        <v>103557.33</v>
      </c>
      <c r="J248" s="41">
        <f t="shared" si="5"/>
        <v>5276.119999999999</v>
      </c>
      <c r="K248" s="41">
        <f t="shared" si="5"/>
        <v>6899.420000000001</v>
      </c>
      <c r="L248" s="41">
        <f t="shared" si="5"/>
        <v>2954262.56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121770+347768.33</f>
        <v>469538.33</v>
      </c>
      <c r="I256" s="18"/>
      <c r="J256" s="18"/>
      <c r="K256" s="18"/>
      <c r="L256" s="19">
        <f t="shared" si="6"/>
        <v>469538.33</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469538.33</v>
      </c>
      <c r="I257" s="41">
        <f t="shared" si="7"/>
        <v>0</v>
      </c>
      <c r="J257" s="41">
        <f t="shared" si="7"/>
        <v>0</v>
      </c>
      <c r="K257" s="41">
        <f t="shared" si="7"/>
        <v>0</v>
      </c>
      <c r="L257" s="41">
        <f>SUM(F257:K257)</f>
        <v>469538.33</v>
      </c>
      <c r="M257" s="8"/>
      <c r="N257" s="264"/>
    </row>
    <row r="258" spans="1:14" s="3" customFormat="1" ht="12.2" customHeight="1" thickTop="1" x14ac:dyDescent="0.15">
      <c r="A258" s="38" t="s">
        <v>462</v>
      </c>
      <c r="B258" s="40">
        <v>10</v>
      </c>
      <c r="C258" s="40">
        <v>8</v>
      </c>
      <c r="D258" s="39" t="s">
        <v>431</v>
      </c>
      <c r="E258" s="40"/>
      <c r="F258" s="41">
        <f t="shared" ref="F258:L258" si="8">F212+F230+F248+F257</f>
        <v>4606159.22</v>
      </c>
      <c r="G258" s="41">
        <f t="shared" si="8"/>
        <v>2290699.04</v>
      </c>
      <c r="H258" s="41">
        <f t="shared" si="8"/>
        <v>2650633.88</v>
      </c>
      <c r="I258" s="41">
        <f t="shared" si="8"/>
        <v>280987.57</v>
      </c>
      <c r="J258" s="41">
        <f t="shared" si="8"/>
        <v>16689.3</v>
      </c>
      <c r="K258" s="41">
        <f t="shared" si="8"/>
        <v>14222.970000000001</v>
      </c>
      <c r="L258" s="41">
        <f t="shared" si="8"/>
        <v>9859391.9800000004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270000</v>
      </c>
      <c r="L261" s="19">
        <f>SUM(F261:K261)</f>
        <v>270000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1440</v>
      </c>
      <c r="L262" s="19">
        <f>SUM(F262:K262)</f>
        <v>1440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39354.97</v>
      </c>
      <c r="L264" s="19">
        <f>SUM(F264:K264)</f>
        <v>39354.97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435794.97</v>
      </c>
      <c r="L271" s="41">
        <f t="shared" si="9"/>
        <v>435794.97</v>
      </c>
      <c r="M271" s="8"/>
      <c r="N271" s="264"/>
    </row>
    <row r="272" spans="1:14" s="34" customFormat="1" ht="12.2" customHeight="1" thickTop="1" x14ac:dyDescent="0.2">
      <c r="A272" s="43" t="s">
        <v>464</v>
      </c>
      <c r="B272" s="40">
        <v>10</v>
      </c>
      <c r="C272" s="40">
        <v>18</v>
      </c>
      <c r="D272" s="39" t="s">
        <v>431</v>
      </c>
      <c r="E272" s="40"/>
      <c r="F272" s="42">
        <f t="shared" ref="F272:L272" si="11">F258+F271</f>
        <v>4606159.22</v>
      </c>
      <c r="G272" s="42">
        <f t="shared" si="11"/>
        <v>2290699.04</v>
      </c>
      <c r="H272" s="42">
        <f t="shared" si="11"/>
        <v>2650633.88</v>
      </c>
      <c r="I272" s="42">
        <f t="shared" si="11"/>
        <v>280987.57</v>
      </c>
      <c r="J272" s="42">
        <f t="shared" si="11"/>
        <v>16689.3</v>
      </c>
      <c r="K272" s="42">
        <f t="shared" si="11"/>
        <v>450017.93999999994</v>
      </c>
      <c r="L272" s="42">
        <f t="shared" si="11"/>
        <v>10295186.950000001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175+22982.92+4541.02+5069+17778.2+10718.46</f>
        <v>61264.6</v>
      </c>
      <c r="G277" s="18">
        <f>44.4+2322.54+614.77+387.81+261.38+854.07+2666.66+8.96+21.6+635.1+1907.9</f>
        <v>9725.19</v>
      </c>
      <c r="H277" s="18">
        <f>2018+5494.4</f>
        <v>7512.4</v>
      </c>
      <c r="I277" s="18">
        <f>1645.99+1039.51+9395.02+3279.19+4000</f>
        <v>19359.71</v>
      </c>
      <c r="J277" s="18">
        <f>2341.85+23272.66+5127</f>
        <v>30741.51</v>
      </c>
      <c r="K277" s="18"/>
      <c r="L277" s="19">
        <f>SUM(F277:K277)</f>
        <v>128603.40999999999</v>
      </c>
      <c r="M277" s="8"/>
      <c r="N277" s="264"/>
    </row>
    <row r="278" spans="1:14" s="3" customFormat="1" ht="12.2" customHeight="1" x14ac:dyDescent="0.15">
      <c r="A278" s="1" t="s">
        <v>439</v>
      </c>
      <c r="B278" s="2" t="s">
        <v>357</v>
      </c>
      <c r="C278" s="2" t="s">
        <v>291</v>
      </c>
      <c r="D278" s="2" t="s">
        <v>431</v>
      </c>
      <c r="E278" s="6">
        <v>1200</v>
      </c>
      <c r="F278" s="18">
        <f>4330+1683.07</f>
        <v>6013.07</v>
      </c>
      <c r="G278" s="18">
        <f>331.24+483.66+316.75</f>
        <v>1131.6500000000001</v>
      </c>
      <c r="H278" s="18">
        <f>3854.83+7928.51+4269.28+3120+4000+38820.52</f>
        <v>61993.14</v>
      </c>
      <c r="I278" s="18">
        <f>402.57+222.93+398.72</f>
        <v>1024.22</v>
      </c>
      <c r="J278" s="18">
        <f>678.11+300</f>
        <v>978.11</v>
      </c>
      <c r="K278" s="18"/>
      <c r="L278" s="19">
        <f>SUM(F278:K278)</f>
        <v>71140.19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13141.91</f>
        <v>13141.91</v>
      </c>
      <c r="G280" s="18">
        <f>1005.33+1780</f>
        <v>2785.33</v>
      </c>
      <c r="H280" s="18"/>
      <c r="I280" s="18"/>
      <c r="J280" s="18"/>
      <c r="K280" s="18"/>
      <c r="L280" s="19">
        <f>SUM(F280:K280)</f>
        <v>15927.24</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2000</f>
        <v>2000</v>
      </c>
      <c r="G282" s="18">
        <f>509</f>
        <v>509</v>
      </c>
      <c r="H282" s="18">
        <f>35.88</f>
        <v>35.880000000000003</v>
      </c>
      <c r="I282" s="18">
        <f>3916.85</f>
        <v>3916.85</v>
      </c>
      <c r="J282" s="18"/>
      <c r="K282" s="18"/>
      <c r="L282" s="19">
        <f t="shared" ref="L282:L288" si="12">SUM(F282:K282)</f>
        <v>6461.73</v>
      </c>
      <c r="M282" s="8"/>
      <c r="N282" s="264"/>
    </row>
    <row r="283" spans="1:14" s="3" customFormat="1" ht="12.2" customHeight="1" x14ac:dyDescent="0.15">
      <c r="A283" s="1" t="s">
        <v>443</v>
      </c>
      <c r="B283" s="2" t="s">
        <v>357</v>
      </c>
      <c r="C283" s="2" t="s">
        <v>295</v>
      </c>
      <c r="D283" s="2" t="s">
        <v>431</v>
      </c>
      <c r="E283" s="6">
        <v>2200</v>
      </c>
      <c r="F283" s="18"/>
      <c r="G283" s="18"/>
      <c r="H283" s="18">
        <f>408.83+4200</f>
        <v>4608.83</v>
      </c>
      <c r="I283" s="18"/>
      <c r="J283" s="18"/>
      <c r="K283" s="18"/>
      <c r="L283" s="19">
        <f t="shared" si="12"/>
        <v>4608.83</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v>400</v>
      </c>
      <c r="I286" s="18"/>
      <c r="J286" s="18"/>
      <c r="K286" s="18"/>
      <c r="L286" s="19">
        <f t="shared" si="12"/>
        <v>400</v>
      </c>
      <c r="M286" s="8"/>
      <c r="N286" s="264"/>
    </row>
    <row r="287" spans="1:14" s="3" customFormat="1" ht="12.2" customHeight="1" x14ac:dyDescent="0.15">
      <c r="A287" s="1" t="s">
        <v>447</v>
      </c>
      <c r="B287" s="2" t="s">
        <v>357</v>
      </c>
      <c r="C287" s="2" t="s">
        <v>299</v>
      </c>
      <c r="D287" s="2" t="s">
        <v>431</v>
      </c>
      <c r="E287" s="6">
        <v>2600</v>
      </c>
      <c r="F287" s="18">
        <f>2260.5</f>
        <v>2260.5</v>
      </c>
      <c r="G287" s="18">
        <f>405.13</f>
        <v>405.13</v>
      </c>
      <c r="H287" s="18">
        <f>25723.76+19435.62+11832.05+7708.05+28914.44+1753.12</f>
        <v>95367.039999999994</v>
      </c>
      <c r="I287" s="18">
        <f>3417.14+19034.06</f>
        <v>22451.200000000001</v>
      </c>
      <c r="J287" s="18">
        <f>3338.1</f>
        <v>3338.1</v>
      </c>
      <c r="K287" s="18"/>
      <c r="L287" s="19">
        <f t="shared" si="12"/>
        <v>123821.97</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84680.08</v>
      </c>
      <c r="G291" s="42">
        <f t="shared" si="13"/>
        <v>14556.3</v>
      </c>
      <c r="H291" s="42">
        <f t="shared" si="13"/>
        <v>169917.28999999998</v>
      </c>
      <c r="I291" s="42">
        <f t="shared" si="13"/>
        <v>46751.979999999996</v>
      </c>
      <c r="J291" s="42">
        <f t="shared" si="13"/>
        <v>35057.72</v>
      </c>
      <c r="K291" s="42">
        <f t="shared" si="13"/>
        <v>0</v>
      </c>
      <c r="L291" s="41">
        <f t="shared" si="13"/>
        <v>350963.37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5000+105+13789.75+2724.61+13620.64+10666.92+50300</f>
        <v>96206.92</v>
      </c>
      <c r="G296" s="18">
        <f>382.5+890+26.64+1393.52+368.86+1039.45+488.49+512.44+17916.7+482.2+44.8+103.73+3105.02+8912.45</f>
        <v>35666.800000000003</v>
      </c>
      <c r="H296" s="18">
        <f>20000+13942.3+9785.2+1210.8+3296.69</f>
        <v>48234.990000000005</v>
      </c>
      <c r="I296" s="18">
        <f>7017.92+5371.36+5637.01+1967.52</f>
        <v>19993.810000000001</v>
      </c>
      <c r="J296" s="18">
        <f>13963.6</f>
        <v>13963.6</v>
      </c>
      <c r="K296" s="18"/>
      <c r="L296" s="19">
        <f>SUM(F296:K296)</f>
        <v>214066.12000000002</v>
      </c>
      <c r="M296" s="8"/>
      <c r="N296" s="264"/>
    </row>
    <row r="297" spans="1:14" s="3" customFormat="1" ht="12.2" customHeight="1" x14ac:dyDescent="0.15">
      <c r="A297" s="1" t="s">
        <v>439</v>
      </c>
      <c r="B297" s="2" t="s">
        <v>358</v>
      </c>
      <c r="C297" s="2" t="s">
        <v>291</v>
      </c>
      <c r="D297" s="2" t="s">
        <v>431</v>
      </c>
      <c r="E297" s="6">
        <v>1200</v>
      </c>
      <c r="F297" s="18">
        <f>1009.84</f>
        <v>1009.84</v>
      </c>
      <c r="G297" s="18">
        <f>190.05</f>
        <v>190.05</v>
      </c>
      <c r="H297" s="18">
        <f>4469+4757.11+2561.57+23292.31</f>
        <v>35079.990000000005</v>
      </c>
      <c r="I297" s="18">
        <f>85.78+239.23</f>
        <v>325.01</v>
      </c>
      <c r="J297" s="18">
        <f>75.92+180</f>
        <v>255.92000000000002</v>
      </c>
      <c r="K297" s="18"/>
      <c r="L297" s="19">
        <f>SUM(F297:K297)</f>
        <v>36860.810000000005</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f>9656.37</f>
        <v>9656.3700000000008</v>
      </c>
      <c r="G299" s="18">
        <f>2350.34</f>
        <v>2350.34</v>
      </c>
      <c r="H299" s="18"/>
      <c r="I299" s="18"/>
      <c r="J299" s="18"/>
      <c r="K299" s="18"/>
      <c r="L299" s="19">
        <f>SUM(F299:K299)</f>
        <v>12006.710000000001</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f>1200+11800+7500</f>
        <v>20500</v>
      </c>
      <c r="G301" s="18">
        <f>305.4+902.68+2100.4+558.73+1152.55</f>
        <v>5019.76</v>
      </c>
      <c r="H301" s="18">
        <f>25056+1000+1200+12600</f>
        <v>39856</v>
      </c>
      <c r="I301" s="18">
        <f>2350.11</f>
        <v>2350.11</v>
      </c>
      <c r="J301" s="18"/>
      <c r="K301" s="18"/>
      <c r="L301" s="19">
        <f t="shared" ref="L301:L307" si="14">SUM(F301:K301)</f>
        <v>67725.87</v>
      </c>
      <c r="M301" s="8"/>
      <c r="N301" s="264"/>
    </row>
    <row r="302" spans="1:14" s="3" customFormat="1" ht="12.2" customHeight="1" x14ac:dyDescent="0.15">
      <c r="A302" s="1" t="s">
        <v>443</v>
      </c>
      <c r="B302" s="2" t="s">
        <v>358</v>
      </c>
      <c r="C302" s="2" t="s">
        <v>295</v>
      </c>
      <c r="D302" s="2" t="s">
        <v>431</v>
      </c>
      <c r="E302" s="6">
        <v>2200</v>
      </c>
      <c r="F302" s="18"/>
      <c r="G302" s="18"/>
      <c r="H302" s="18">
        <f>245.3+2520</f>
        <v>2765.3</v>
      </c>
      <c r="I302" s="18"/>
      <c r="J302" s="18"/>
      <c r="K302" s="18"/>
      <c r="L302" s="19">
        <f t="shared" si="14"/>
        <v>2765.3</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v>240</v>
      </c>
      <c r="I305" s="18"/>
      <c r="J305" s="18"/>
      <c r="K305" s="18"/>
      <c r="L305" s="19">
        <f t="shared" si="14"/>
        <v>240</v>
      </c>
      <c r="M305" s="8"/>
      <c r="N305" s="264"/>
    </row>
    <row r="306" spans="1:14" s="3" customFormat="1" ht="12.2" customHeight="1" x14ac:dyDescent="0.15">
      <c r="A306" s="1" t="s">
        <v>447</v>
      </c>
      <c r="B306" s="2" t="s">
        <v>358</v>
      </c>
      <c r="C306" s="2" t="s">
        <v>299</v>
      </c>
      <c r="D306" s="2" t="s">
        <v>431</v>
      </c>
      <c r="E306" s="6">
        <v>2600</v>
      </c>
      <c r="F306" s="18">
        <f>1356.3</f>
        <v>1356.3</v>
      </c>
      <c r="G306" s="18">
        <f>243.08</f>
        <v>243.08</v>
      </c>
      <c r="H306" s="18">
        <f>11658.11+15434.26+11661.37+7099.23+4624.83+1051.87</f>
        <v>51529.670000000006</v>
      </c>
      <c r="I306" s="18">
        <f>2050.28+11420.44</f>
        <v>13470.720000000001</v>
      </c>
      <c r="J306" s="18">
        <f>2002.86</f>
        <v>2002.86</v>
      </c>
      <c r="K306" s="18"/>
      <c r="L306" s="19">
        <f t="shared" si="14"/>
        <v>68602.63</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128729.43</v>
      </c>
      <c r="G310" s="42">
        <f t="shared" si="15"/>
        <v>43470.030000000006</v>
      </c>
      <c r="H310" s="42">
        <f t="shared" si="15"/>
        <v>177705.95</v>
      </c>
      <c r="I310" s="42">
        <f t="shared" si="15"/>
        <v>36139.65</v>
      </c>
      <c r="J310" s="42">
        <f t="shared" si="15"/>
        <v>16222.380000000001</v>
      </c>
      <c r="K310" s="42">
        <f t="shared" si="15"/>
        <v>0</v>
      </c>
      <c r="L310" s="41">
        <f t="shared" si="15"/>
        <v>402267.44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157.5+20684.62+4086.92+12785.23+16000.38</f>
        <v>53714.65</v>
      </c>
      <c r="G315" s="18">
        <f>39.96+2090.28+553.29+977.74+438.38+768.66</f>
        <v>4868.3100000000004</v>
      </c>
      <c r="H315" s="18">
        <f>390+1816.2+4944.96</f>
        <v>7151.16</v>
      </c>
      <c r="I315" s="18">
        <f>8455.51+2951.28</f>
        <v>11406.79</v>
      </c>
      <c r="J315" s="18">
        <f>20945.4</f>
        <v>20945.400000000001</v>
      </c>
      <c r="K315" s="18"/>
      <c r="L315" s="19">
        <f>SUM(F315:K315)</f>
        <v>98086.31</v>
      </c>
      <c r="M315" s="8"/>
      <c r="N315" s="264"/>
    </row>
    <row r="316" spans="1:14" s="3" customFormat="1" ht="12.2" customHeight="1" x14ac:dyDescent="0.15">
      <c r="A316" s="1" t="s">
        <v>439</v>
      </c>
      <c r="B316" s="2" t="s">
        <v>359</v>
      </c>
      <c r="C316" s="2" t="s">
        <v>291</v>
      </c>
      <c r="D316" s="2" t="s">
        <v>431</v>
      </c>
      <c r="E316" s="6">
        <v>1200</v>
      </c>
      <c r="F316" s="18">
        <f>1514.76</f>
        <v>1514.76</v>
      </c>
      <c r="G316" s="18">
        <f>285.08</f>
        <v>285.08</v>
      </c>
      <c r="H316" s="18">
        <f>6703.5+7135.66+3842.36+34938.46</f>
        <v>52619.979999999996</v>
      </c>
      <c r="I316" s="18">
        <f>128.67+358.84</f>
        <v>487.51</v>
      </c>
      <c r="J316" s="18">
        <f>113.88+270</f>
        <v>383.88</v>
      </c>
      <c r="K316" s="18"/>
      <c r="L316" s="19">
        <f>SUM(F316:K316)</f>
        <v>55291.209999999992</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f>14484.55</f>
        <v>14484.55</v>
      </c>
      <c r="G318" s="18">
        <f>3525.51</f>
        <v>3525.51</v>
      </c>
      <c r="H318" s="18"/>
      <c r="I318" s="18"/>
      <c r="J318" s="18"/>
      <c r="K318" s="18"/>
      <c r="L318" s="19">
        <f>SUM(F318:K318)</f>
        <v>18010.059999999998</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1800</f>
        <v>1800</v>
      </c>
      <c r="G320" s="18">
        <f>458.1</f>
        <v>458.1</v>
      </c>
      <c r="H320" s="18"/>
      <c r="I320" s="18">
        <v>3525.17</v>
      </c>
      <c r="J320" s="18"/>
      <c r="K320" s="18"/>
      <c r="L320" s="19">
        <f t="shared" ref="L320:L326" si="16">SUM(F320:K320)</f>
        <v>5783.27</v>
      </c>
      <c r="M320" s="8"/>
      <c r="N320" s="264"/>
    </row>
    <row r="321" spans="1:14" s="3" customFormat="1" ht="12.2" customHeight="1" x14ac:dyDescent="0.15">
      <c r="A321" s="1" t="s">
        <v>443</v>
      </c>
      <c r="B321" s="2" t="s">
        <v>359</v>
      </c>
      <c r="C321" s="2" t="s">
        <v>295</v>
      </c>
      <c r="D321" s="2" t="s">
        <v>431</v>
      </c>
      <c r="E321" s="6">
        <v>2200</v>
      </c>
      <c r="F321" s="18"/>
      <c r="G321" s="18"/>
      <c r="H321" s="18">
        <f>367.95+3780</f>
        <v>4147.95</v>
      </c>
      <c r="I321" s="18"/>
      <c r="J321" s="18"/>
      <c r="K321" s="18"/>
      <c r="L321" s="19">
        <f t="shared" si="16"/>
        <v>4147.95</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v>360</v>
      </c>
      <c r="I324" s="18"/>
      <c r="J324" s="18"/>
      <c r="K324" s="18"/>
      <c r="L324" s="19">
        <f t="shared" si="16"/>
        <v>360</v>
      </c>
      <c r="M324" s="8"/>
      <c r="N324" s="264"/>
    </row>
    <row r="325" spans="1:14" s="3" customFormat="1" ht="12.2" customHeight="1" x14ac:dyDescent="0.15">
      <c r="A325" s="1" t="s">
        <v>447</v>
      </c>
      <c r="B325" s="2" t="s">
        <v>359</v>
      </c>
      <c r="C325" s="2" t="s">
        <v>299</v>
      </c>
      <c r="D325" s="2" t="s">
        <v>431</v>
      </c>
      <c r="E325" s="6">
        <v>2600</v>
      </c>
      <c r="F325" s="18">
        <f>2034.45</f>
        <v>2034.45</v>
      </c>
      <c r="G325" s="18">
        <f>364.62</f>
        <v>364.62</v>
      </c>
      <c r="H325" s="18">
        <f>1268+17487.17+23151.39+17492.05+10648.85+6937.25+1577.8</f>
        <v>78562.510000000009</v>
      </c>
      <c r="I325" s="18">
        <f>3075.42+17130.66</f>
        <v>20206.080000000002</v>
      </c>
      <c r="J325" s="18">
        <f>3004.29</f>
        <v>3004.29</v>
      </c>
      <c r="K325" s="18"/>
      <c r="L325" s="19">
        <f t="shared" si="16"/>
        <v>104171.95000000001</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73548.41</v>
      </c>
      <c r="G329" s="42">
        <f t="shared" si="17"/>
        <v>9501.6200000000026</v>
      </c>
      <c r="H329" s="42">
        <f t="shared" si="17"/>
        <v>142841.60000000001</v>
      </c>
      <c r="I329" s="42">
        <f t="shared" si="17"/>
        <v>35625.550000000003</v>
      </c>
      <c r="J329" s="42">
        <f t="shared" si="17"/>
        <v>24333.570000000003</v>
      </c>
      <c r="K329" s="42">
        <f t="shared" si="17"/>
        <v>0</v>
      </c>
      <c r="L329" s="41">
        <f t="shared" si="17"/>
        <v>285850.75</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286957.92000000004</v>
      </c>
      <c r="G339" s="41">
        <f t="shared" si="20"/>
        <v>67527.950000000012</v>
      </c>
      <c r="H339" s="41">
        <f t="shared" si="20"/>
        <v>490464.83999999997</v>
      </c>
      <c r="I339" s="41">
        <f t="shared" si="20"/>
        <v>118517.18000000001</v>
      </c>
      <c r="J339" s="41">
        <f t="shared" si="20"/>
        <v>75613.670000000013</v>
      </c>
      <c r="K339" s="41">
        <f t="shared" si="20"/>
        <v>0</v>
      </c>
      <c r="L339" s="41">
        <f t="shared" si="20"/>
        <v>1039081.56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286957.92000000004</v>
      </c>
      <c r="G353" s="41">
        <f>G339</f>
        <v>67527.950000000012</v>
      </c>
      <c r="H353" s="41">
        <f>H339</f>
        <v>490464.83999999997</v>
      </c>
      <c r="I353" s="41">
        <f>I339</f>
        <v>118517.18000000001</v>
      </c>
      <c r="J353" s="41">
        <f>J339</f>
        <v>75613.670000000013</v>
      </c>
      <c r="K353" s="47">
        <f>K339+K352</f>
        <v>0</v>
      </c>
      <c r="L353" s="41">
        <f>L339+L352</f>
        <v>1039081.56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99630.1</v>
      </c>
      <c r="I359" s="18"/>
      <c r="J359" s="18"/>
      <c r="K359" s="18"/>
      <c r="L359" s="13">
        <f>SUM(F359:K359)</f>
        <v>99630.1</v>
      </c>
      <c r="M359" s="8"/>
      <c r="N359" s="264"/>
    </row>
    <row r="360" spans="1:22" s="3" customFormat="1" ht="12.2" customHeight="1" x14ac:dyDescent="0.15">
      <c r="A360" s="1" t="s">
        <v>542</v>
      </c>
      <c r="B360" s="2" t="s">
        <v>366</v>
      </c>
      <c r="C360" s="6">
        <v>2</v>
      </c>
      <c r="D360" s="2" t="s">
        <v>431</v>
      </c>
      <c r="E360" s="6"/>
      <c r="F360" s="18"/>
      <c r="G360" s="18"/>
      <c r="H360" s="18">
        <v>59778.07</v>
      </c>
      <c r="I360" s="18"/>
      <c r="J360" s="18"/>
      <c r="K360" s="18"/>
      <c r="L360" s="19">
        <f>SUM(F360:K360)</f>
        <v>59778.07</v>
      </c>
      <c r="M360" s="8"/>
      <c r="N360" s="264"/>
    </row>
    <row r="361" spans="1:22" s="3" customFormat="1" ht="12.2" customHeight="1" x14ac:dyDescent="0.15">
      <c r="A361" s="3" t="s">
        <v>543</v>
      </c>
      <c r="B361" s="2" t="s">
        <v>366</v>
      </c>
      <c r="C361" s="6">
        <v>3</v>
      </c>
      <c r="D361" s="2" t="s">
        <v>431</v>
      </c>
      <c r="E361" s="6"/>
      <c r="F361" s="18"/>
      <c r="G361" s="18"/>
      <c r="H361" s="18">
        <v>89667.09</v>
      </c>
      <c r="I361" s="18"/>
      <c r="J361" s="18"/>
      <c r="K361" s="18"/>
      <c r="L361" s="19">
        <f>SUM(F361:K361)</f>
        <v>89667.09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249075.26</v>
      </c>
      <c r="I363" s="47">
        <f t="shared" si="22"/>
        <v>0</v>
      </c>
      <c r="J363" s="47">
        <f t="shared" si="22"/>
        <v>0</v>
      </c>
      <c r="K363" s="47">
        <f t="shared" si="22"/>
        <v>0</v>
      </c>
      <c r="L363" s="47">
        <f t="shared" si="22"/>
        <v>249075.26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50000</v>
      </c>
      <c r="H390" s="18"/>
      <c r="I390" s="18"/>
      <c r="J390" s="24" t="s">
        <v>288</v>
      </c>
      <c r="K390" s="24" t="s">
        <v>288</v>
      </c>
      <c r="L390" s="56">
        <f t="shared" si="25"/>
        <v>50000</v>
      </c>
      <c r="M390" s="8"/>
      <c r="N390" s="264"/>
    </row>
    <row r="391" spans="1:14" s="3" customFormat="1" ht="12.2" customHeight="1" x14ac:dyDescent="0.15">
      <c r="A391" s="79" t="s">
        <v>553</v>
      </c>
      <c r="B391" s="2" t="s">
        <v>381</v>
      </c>
      <c r="C391" s="6">
        <v>4</v>
      </c>
      <c r="D391" s="2" t="s">
        <v>432</v>
      </c>
      <c r="E391" s="6"/>
      <c r="F391" s="18"/>
      <c r="G391" s="18">
        <v>15000</v>
      </c>
      <c r="H391" s="18"/>
      <c r="I391" s="18"/>
      <c r="J391" s="24" t="s">
        <v>288</v>
      </c>
      <c r="K391" s="24" t="s">
        <v>288</v>
      </c>
      <c r="L391" s="56">
        <f t="shared" si="25"/>
        <v>15000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65000</v>
      </c>
      <c r="H394" s="139">
        <f>SUM(H388:H393)</f>
        <v>0</v>
      </c>
      <c r="I394" s="65">
        <f>SUM(I388:I393)</f>
        <v>0</v>
      </c>
      <c r="J394" s="45" t="s">
        <v>288</v>
      </c>
      <c r="K394" s="45" t="s">
        <v>288</v>
      </c>
      <c r="L394" s="47">
        <f>SUM(L388:L393)</f>
        <v>65000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50000</v>
      </c>
      <c r="H398" s="18"/>
      <c r="I398" s="18"/>
      <c r="J398" s="24" t="s">
        <v>288</v>
      </c>
      <c r="K398" s="24" t="s">
        <v>288</v>
      </c>
      <c r="L398" s="56">
        <f t="shared" si="26"/>
        <v>50000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10000</v>
      </c>
      <c r="H400" s="18"/>
      <c r="I400" s="18"/>
      <c r="J400" s="24" t="s">
        <v>288</v>
      </c>
      <c r="K400" s="24" t="s">
        <v>288</v>
      </c>
      <c r="L400" s="56">
        <f t="shared" si="26"/>
        <v>10000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0</v>
      </c>
      <c r="I402" s="47">
        <f>SUM(I396:I401)</f>
        <v>0</v>
      </c>
      <c r="J402" s="45" t="s">
        <v>288</v>
      </c>
      <c r="K402" s="45" t="s">
        <v>288</v>
      </c>
      <c r="L402" s="47">
        <f>SUM(L396:L401)</f>
        <v>60000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125000</v>
      </c>
      <c r="H409" s="47">
        <f>H394+H402+H408</f>
        <v>0</v>
      </c>
      <c r="I409" s="47">
        <f>I394+I402+I408</f>
        <v>0</v>
      </c>
      <c r="J409" s="24" t="s">
        <v>288</v>
      </c>
      <c r="K409" s="24" t="s">
        <v>288</v>
      </c>
      <c r="L409" s="47">
        <f>L394+L402+L408</f>
        <v>125000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f>50822.29+25395.81</f>
        <v>76218.100000000006</v>
      </c>
      <c r="I415" s="18"/>
      <c r="J415" s="18"/>
      <c r="K415" s="18"/>
      <c r="L415" s="56">
        <f t="shared" si="27"/>
        <v>76218.100000000006</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v>27359</v>
      </c>
      <c r="I417" s="18"/>
      <c r="J417" s="18"/>
      <c r="K417" s="18"/>
      <c r="L417" s="56">
        <f t="shared" si="27"/>
        <v>27359</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103577.1</v>
      </c>
      <c r="I420" s="139">
        <f t="shared" si="28"/>
        <v>0</v>
      </c>
      <c r="J420" s="139">
        <f t="shared" si="28"/>
        <v>0</v>
      </c>
      <c r="K420" s="139">
        <f t="shared" si="28"/>
        <v>0</v>
      </c>
      <c r="L420" s="47">
        <f t="shared" si="28"/>
        <v>103577.1</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v>3932.3</v>
      </c>
      <c r="K426" s="18"/>
      <c r="L426" s="56">
        <f t="shared" si="29"/>
        <v>3932.3</v>
      </c>
      <c r="M426" s="8"/>
      <c r="N426" s="264"/>
    </row>
    <row r="427" spans="1:21" s="3" customFormat="1" ht="12.2" customHeight="1" thickBot="1" x14ac:dyDescent="0.2">
      <c r="A427" s="79" t="s">
        <v>510</v>
      </c>
      <c r="B427" s="6">
        <v>17</v>
      </c>
      <c r="C427" s="6">
        <v>13</v>
      </c>
      <c r="D427" s="2" t="s">
        <v>432</v>
      </c>
      <c r="E427" s="6"/>
      <c r="F427" s="18"/>
      <c r="G427" s="18"/>
      <c r="H427" s="18">
        <v>2062</v>
      </c>
      <c r="I427" s="18"/>
      <c r="J427" s="18"/>
      <c r="K427" s="18"/>
      <c r="L427" s="56">
        <f t="shared" si="29"/>
        <v>2062</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2062</v>
      </c>
      <c r="I428" s="47">
        <f t="shared" si="30"/>
        <v>0</v>
      </c>
      <c r="J428" s="47">
        <f t="shared" si="30"/>
        <v>3932.3</v>
      </c>
      <c r="K428" s="47">
        <f t="shared" si="30"/>
        <v>0</v>
      </c>
      <c r="L428" s="47">
        <f t="shared" si="30"/>
        <v>5994.3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105639.1</v>
      </c>
      <c r="I435" s="47">
        <f t="shared" si="32"/>
        <v>0</v>
      </c>
      <c r="J435" s="47">
        <f t="shared" si="32"/>
        <v>3932.3</v>
      </c>
      <c r="K435" s="47">
        <f t="shared" si="32"/>
        <v>0</v>
      </c>
      <c r="L435" s="47">
        <f t="shared" si="32"/>
        <v>109571.40000000001</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f>6663.74+140182.04</f>
        <v>146845.78</v>
      </c>
      <c r="G441" s="18">
        <f>274705.09+11243.81+149.76</f>
        <v>286098.66000000003</v>
      </c>
      <c r="H441" s="18"/>
      <c r="I441" s="56">
        <f t="shared" si="33"/>
        <v>432944.44000000006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146845.78</v>
      </c>
      <c r="G447" s="13">
        <f>SUM(G440:G446)</f>
        <v>286098.66000000003</v>
      </c>
      <c r="H447" s="13">
        <f>SUM(H440:H446)</f>
        <v>0</v>
      </c>
      <c r="I447" s="13">
        <f>SUM(I440:I446)</f>
        <v>432944.44000000006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146845.78</v>
      </c>
      <c r="G460" s="18">
        <v>286098.65999999997</v>
      </c>
      <c r="H460" s="18"/>
      <c r="I460" s="56">
        <f t="shared" si="34"/>
        <v>432944.43999999994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146845.78</v>
      </c>
      <c r="G461" s="83">
        <f>SUM(G455:G460)</f>
        <v>286098.65999999997</v>
      </c>
      <c r="H461" s="83">
        <f>SUM(H455:H460)</f>
        <v>0</v>
      </c>
      <c r="I461" s="83">
        <f>SUM(I455:I460)</f>
        <v>432944.43999999994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146845.78</v>
      </c>
      <c r="G462" s="42">
        <f>G453+G461</f>
        <v>286098.65999999997</v>
      </c>
      <c r="H462" s="42">
        <f>H453+H461</f>
        <v>0</v>
      </c>
      <c r="I462" s="42">
        <f>I453+I461</f>
        <v>432944.43999999994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625149.88</v>
      </c>
      <c r="G466" s="18">
        <v>12400</v>
      </c>
      <c r="H466" s="18">
        <v>0</v>
      </c>
      <c r="I466" s="18"/>
      <c r="J466" s="18">
        <v>402565.05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10367251.09</v>
      </c>
      <c r="G469" s="18">
        <v>236675.26</v>
      </c>
      <c r="H469" s="18">
        <v>1039081.56</v>
      </c>
      <c r="I469" s="18"/>
      <c r="J469" s="18">
        <v>125000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v>14950.79</v>
      </c>
      <c r="K470" s="24" t="s">
        <v>288</v>
      </c>
      <c r="L470" s="24" t="s">
        <v>288</v>
      </c>
      <c r="N470" s="263"/>
    </row>
    <row r="471" spans="1:14" s="52" customFormat="1" ht="12.2" customHeight="1" x14ac:dyDescent="0.2">
      <c r="A471" s="92" t="s">
        <v>425</v>
      </c>
      <c r="B471" s="75">
        <v>19</v>
      </c>
      <c r="C471" s="80">
        <v>4</v>
      </c>
      <c r="D471" s="2" t="s">
        <v>432</v>
      </c>
      <c r="E471" s="80"/>
      <c r="F471" s="53">
        <f>SUM(F469:F470)</f>
        <v>10367251.09</v>
      </c>
      <c r="G471" s="53">
        <f>SUM(G469:G470)</f>
        <v>236675.26</v>
      </c>
      <c r="H471" s="53">
        <f>SUM(H469:H470)</f>
        <v>1039081.56</v>
      </c>
      <c r="I471" s="53">
        <f>SUM(I469:I470)</f>
        <v>0</v>
      </c>
      <c r="J471" s="53">
        <f>SUM(J469:J470)</f>
        <v>139950.79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10295186.949999999</v>
      </c>
      <c r="G473" s="18">
        <v>249075.26</v>
      </c>
      <c r="H473" s="18">
        <v>1039081.56</v>
      </c>
      <c r="I473" s="18"/>
      <c r="J473" s="18">
        <v>109571.4</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10295186.949999999</v>
      </c>
      <c r="G475" s="53">
        <f>SUM(G473:G474)</f>
        <v>249075.26</v>
      </c>
      <c r="H475" s="53">
        <f>SUM(H473:H474)</f>
        <v>1039081.56</v>
      </c>
      <c r="I475" s="53">
        <f>SUM(I473:I474)</f>
        <v>0</v>
      </c>
      <c r="J475" s="53">
        <f>SUM(J473:J474)</f>
        <v>109571.4</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697214.02000000142</v>
      </c>
      <c r="G477" s="53">
        <f>(G466+G471)- G475</f>
        <v>0</v>
      </c>
      <c r="H477" s="53">
        <f>(H466+H471)- H475</f>
        <v>0</v>
      </c>
      <c r="I477" s="53">
        <f>(I466+I471)- I475</f>
        <v>0</v>
      </c>
      <c r="J477" s="53">
        <f>(J466+J471)- J475</f>
        <v>432944.43999999994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1672</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15</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4097790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4.0999999999999996</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270000</v>
      </c>
      <c r="G496" s="18"/>
      <c r="H496" s="18"/>
      <c r="I496" s="18"/>
      <c r="J496" s="18"/>
      <c r="K496" s="53">
        <f>SUM(F496:J496)</f>
        <v>270000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270000</v>
      </c>
      <c r="G498" s="18"/>
      <c r="H498" s="18"/>
      <c r="I498" s="18"/>
      <c r="J498" s="18"/>
      <c r="K498" s="53">
        <f t="shared" si="35"/>
        <v>270000</v>
      </c>
      <c r="L498" s="24" t="s">
        <v>288</v>
      </c>
      <c r="N498" s="263"/>
    </row>
    <row r="499" spans="1:14" s="52" customFormat="1" ht="12.2" customHeight="1" x14ac:dyDescent="0.2">
      <c r="A499" s="200" t="s">
        <v>622</v>
      </c>
      <c r="B499" s="201">
        <v>20</v>
      </c>
      <c r="C499" s="202">
        <v>9</v>
      </c>
      <c r="D499" s="203" t="s">
        <v>432</v>
      </c>
      <c r="E499" s="202"/>
      <c r="F499" s="204">
        <v>0</v>
      </c>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v>0</v>
      </c>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v>0</v>
      </c>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v>0</v>
      </c>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535303</v>
      </c>
      <c r="G522" s="18">
        <v>285620</v>
      </c>
      <c r="H522" s="18">
        <v>652716</v>
      </c>
      <c r="I522" s="18">
        <v>2459</v>
      </c>
      <c r="J522" s="18">
        <v>651</v>
      </c>
      <c r="K522" s="18">
        <v>312</v>
      </c>
      <c r="L522" s="88">
        <f>SUM(F522:K522)</f>
        <v>1477061</v>
      </c>
      <c r="N522" s="263"/>
    </row>
    <row r="523" spans="1:14" s="52" customFormat="1" ht="12.2" customHeight="1" x14ac:dyDescent="0.2">
      <c r="A523" s="22" t="s">
        <v>634</v>
      </c>
      <c r="B523" s="105">
        <v>21</v>
      </c>
      <c r="C523" s="115">
        <v>2</v>
      </c>
      <c r="D523" s="2" t="s">
        <v>432</v>
      </c>
      <c r="E523" s="115"/>
      <c r="F523" s="18">
        <v>184137</v>
      </c>
      <c r="G523" s="18">
        <v>135332</v>
      </c>
      <c r="H523" s="18">
        <v>501977</v>
      </c>
      <c r="I523" s="18">
        <v>524</v>
      </c>
      <c r="J523" s="18">
        <v>1246</v>
      </c>
      <c r="K523" s="18">
        <v>187</v>
      </c>
      <c r="L523" s="88">
        <f>SUM(F523:K523)</f>
        <v>823403</v>
      </c>
      <c r="N523" s="263"/>
    </row>
    <row r="524" spans="1:14" s="52" customFormat="1" ht="12.2" customHeight="1" thickBot="1" x14ac:dyDescent="0.25">
      <c r="A524" s="22" t="s">
        <v>635</v>
      </c>
      <c r="B524" s="105">
        <v>21</v>
      </c>
      <c r="C524" s="115">
        <v>3</v>
      </c>
      <c r="D524" s="2" t="s">
        <v>432</v>
      </c>
      <c r="E524" s="115"/>
      <c r="F524" s="18">
        <v>233170</v>
      </c>
      <c r="G524" s="18">
        <v>86734</v>
      </c>
      <c r="H524" s="18">
        <v>87695</v>
      </c>
      <c r="I524" s="18">
        <v>803</v>
      </c>
      <c r="J524" s="18">
        <v>384</v>
      </c>
      <c r="K524" s="18">
        <v>281</v>
      </c>
      <c r="L524" s="88">
        <f>SUM(F524:K524)</f>
        <v>409067</v>
      </c>
      <c r="N524" s="263"/>
    </row>
    <row r="525" spans="1:14" s="52" customFormat="1" ht="12.2" customHeight="1" thickTop="1" x14ac:dyDescent="0.2">
      <c r="A525" s="139" t="s">
        <v>63</v>
      </c>
      <c r="B525" s="107">
        <v>21</v>
      </c>
      <c r="C525" s="195">
        <v>4</v>
      </c>
      <c r="D525" s="196" t="s">
        <v>432</v>
      </c>
      <c r="E525" s="195"/>
      <c r="F525" s="108">
        <f>SUM(F522:F524)</f>
        <v>952610</v>
      </c>
      <c r="G525" s="108">
        <f t="shared" ref="G525:L525" si="36">SUM(G522:G524)</f>
        <v>507686</v>
      </c>
      <c r="H525" s="108">
        <f t="shared" si="36"/>
        <v>1242388</v>
      </c>
      <c r="I525" s="108">
        <f t="shared" si="36"/>
        <v>3786</v>
      </c>
      <c r="J525" s="108">
        <f t="shared" si="36"/>
        <v>2281</v>
      </c>
      <c r="K525" s="108">
        <f t="shared" si="36"/>
        <v>780</v>
      </c>
      <c r="L525" s="89">
        <f t="shared" si="36"/>
        <v>2709531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114602</v>
      </c>
      <c r="G527" s="18">
        <v>39235</v>
      </c>
      <c r="H527" s="18">
        <v>3001</v>
      </c>
      <c r="I527" s="18">
        <v>4398</v>
      </c>
      <c r="J527" s="18">
        <v>112</v>
      </c>
      <c r="K527" s="18">
        <v>45</v>
      </c>
      <c r="L527" s="88">
        <f>SUM(F527:K527)</f>
        <v>161393</v>
      </c>
      <c r="M527" s="8"/>
      <c r="N527" s="264"/>
    </row>
    <row r="528" spans="1:14" s="3" customFormat="1" ht="12.2" customHeight="1" x14ac:dyDescent="0.15">
      <c r="A528" s="22" t="s">
        <v>634</v>
      </c>
      <c r="B528" s="105">
        <v>21</v>
      </c>
      <c r="C528" s="115">
        <v>6</v>
      </c>
      <c r="D528" s="2" t="s">
        <v>432</v>
      </c>
      <c r="E528" s="115"/>
      <c r="F528" s="18">
        <v>103238</v>
      </c>
      <c r="G528" s="18">
        <v>49441</v>
      </c>
      <c r="H528" s="18">
        <v>41419</v>
      </c>
      <c r="I528" s="18">
        <v>2422</v>
      </c>
      <c r="J528" s="18">
        <v>0</v>
      </c>
      <c r="K528" s="18">
        <v>179</v>
      </c>
      <c r="L528" s="88">
        <f>SUM(F528:K528)</f>
        <v>196699</v>
      </c>
      <c r="M528" s="8"/>
      <c r="N528" s="264"/>
    </row>
    <row r="529" spans="1:14" s="3" customFormat="1" ht="12.2" customHeight="1" thickBot="1" x14ac:dyDescent="0.2">
      <c r="A529" s="22" t="s">
        <v>635</v>
      </c>
      <c r="B529" s="118">
        <v>21</v>
      </c>
      <c r="C529" s="118">
        <v>7</v>
      </c>
      <c r="D529" s="2" t="s">
        <v>432</v>
      </c>
      <c r="E529" s="118"/>
      <c r="F529" s="18">
        <v>102337</v>
      </c>
      <c r="G529" s="18">
        <v>50817</v>
      </c>
      <c r="H529" s="18">
        <v>1141</v>
      </c>
      <c r="I529" s="18">
        <v>4658</v>
      </c>
      <c r="J529" s="18">
        <v>0</v>
      </c>
      <c r="K529" s="18">
        <v>179</v>
      </c>
      <c r="L529" s="88">
        <f>SUM(F529:K529)</f>
        <v>159132</v>
      </c>
      <c r="M529" s="8"/>
      <c r="N529" s="264"/>
    </row>
    <row r="530" spans="1:14" s="3" customFormat="1" ht="12.2" customHeight="1" thickTop="1" x14ac:dyDescent="0.15">
      <c r="A530" s="139" t="s">
        <v>65</v>
      </c>
      <c r="B530" s="107">
        <v>21</v>
      </c>
      <c r="C530" s="107">
        <v>8</v>
      </c>
      <c r="D530" s="158" t="s">
        <v>432</v>
      </c>
      <c r="E530" s="107"/>
      <c r="F530" s="89">
        <f>SUM(F527:F529)</f>
        <v>320177</v>
      </c>
      <c r="G530" s="89">
        <f t="shared" ref="G530:L530" si="37">SUM(G527:G529)</f>
        <v>139493</v>
      </c>
      <c r="H530" s="89">
        <f t="shared" si="37"/>
        <v>45561</v>
      </c>
      <c r="I530" s="89">
        <f t="shared" si="37"/>
        <v>11478</v>
      </c>
      <c r="J530" s="89">
        <f t="shared" si="37"/>
        <v>112</v>
      </c>
      <c r="K530" s="89">
        <f t="shared" si="37"/>
        <v>403</v>
      </c>
      <c r="L530" s="89">
        <f t="shared" si="37"/>
        <v>517224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28750.34</v>
      </c>
      <c r="G532" s="18">
        <f>4276.17+1833.2</f>
        <v>6109.37</v>
      </c>
      <c r="H532" s="18"/>
      <c r="I532" s="18"/>
      <c r="J532" s="18"/>
      <c r="K532" s="18"/>
      <c r="L532" s="88">
        <f>SUM(F532:K532)</f>
        <v>34859.71</v>
      </c>
      <c r="M532" s="8"/>
      <c r="N532" s="264"/>
    </row>
    <row r="533" spans="1:14" s="3" customFormat="1" ht="12.2" customHeight="1" x14ac:dyDescent="0.15">
      <c r="A533" s="22" t="s">
        <v>634</v>
      </c>
      <c r="B533" s="105">
        <v>21</v>
      </c>
      <c r="C533" s="105">
        <v>10</v>
      </c>
      <c r="D533" s="2" t="s">
        <v>432</v>
      </c>
      <c r="E533" s="105"/>
      <c r="F533" s="18">
        <f>17250.56</f>
        <v>17250.560000000001</v>
      </c>
      <c r="G533" s="18">
        <f>1103.96+2565.7</f>
        <v>3669.66</v>
      </c>
      <c r="H533" s="18"/>
      <c r="I533" s="18"/>
      <c r="J533" s="18"/>
      <c r="K533" s="18"/>
      <c r="L533" s="88">
        <f>SUM(F533:K533)</f>
        <v>20920.22</v>
      </c>
      <c r="M533" s="8"/>
      <c r="N533" s="264"/>
    </row>
    <row r="534" spans="1:14" s="3" customFormat="1" ht="12.2" customHeight="1" thickBot="1" x14ac:dyDescent="0.2">
      <c r="A534" s="22" t="s">
        <v>635</v>
      </c>
      <c r="B534" s="105">
        <v>21</v>
      </c>
      <c r="C534" s="105">
        <v>11</v>
      </c>
      <c r="D534" s="2" t="s">
        <v>432</v>
      </c>
      <c r="E534" s="105"/>
      <c r="F534" s="18">
        <f>25756.1</f>
        <v>25756.1</v>
      </c>
      <c r="G534" s="18">
        <f>3848.52+1651.93</f>
        <v>5500.45</v>
      </c>
      <c r="H534" s="18"/>
      <c r="I534" s="18"/>
      <c r="J534" s="18"/>
      <c r="K534" s="18"/>
      <c r="L534" s="88">
        <f>SUM(F534:K534)</f>
        <v>31256.55</v>
      </c>
      <c r="M534" s="8"/>
      <c r="N534" s="264"/>
    </row>
    <row r="535" spans="1:14" s="3" customFormat="1" ht="12.2" customHeight="1" thickTop="1" x14ac:dyDescent="0.15">
      <c r="A535" s="139" t="s">
        <v>67</v>
      </c>
      <c r="B535" s="107">
        <v>21</v>
      </c>
      <c r="C535" s="107">
        <v>12</v>
      </c>
      <c r="D535" s="158" t="s">
        <v>432</v>
      </c>
      <c r="E535" s="107"/>
      <c r="F535" s="89">
        <f>SUM(F532:F534)</f>
        <v>71757</v>
      </c>
      <c r="G535" s="89">
        <f t="shared" ref="G535:L535" si="38">SUM(G532:G534)</f>
        <v>15279.48</v>
      </c>
      <c r="H535" s="89">
        <f t="shared" si="38"/>
        <v>0</v>
      </c>
      <c r="I535" s="89">
        <f t="shared" si="38"/>
        <v>0</v>
      </c>
      <c r="J535" s="89">
        <f t="shared" si="38"/>
        <v>0</v>
      </c>
      <c r="K535" s="89">
        <f t="shared" si="38"/>
        <v>0</v>
      </c>
      <c r="L535" s="89">
        <f t="shared" si="38"/>
        <v>87036.479999999996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37182.53</v>
      </c>
      <c r="G542" s="18">
        <f>2844.45+2103.84</f>
        <v>4948.29</v>
      </c>
      <c r="H542" s="18">
        <v>26950</v>
      </c>
      <c r="I542" s="18"/>
      <c r="J542" s="18"/>
      <c r="K542" s="18"/>
      <c r="L542" s="88">
        <f>SUM(F542:K542)</f>
        <v>69080.820000000007</v>
      </c>
      <c r="M542" s="8"/>
      <c r="N542" s="264"/>
    </row>
    <row r="543" spans="1:14" s="3" customFormat="1" ht="12.2" customHeight="1" x14ac:dyDescent="0.15">
      <c r="A543" s="22" t="s">
        <v>634</v>
      </c>
      <c r="B543" s="105">
        <v>21</v>
      </c>
      <c r="C543" s="105">
        <v>18</v>
      </c>
      <c r="D543" s="2" t="s">
        <v>432</v>
      </c>
      <c r="E543" s="105"/>
      <c r="F543" s="18">
        <f>24173.01</f>
        <v>24173.01</v>
      </c>
      <c r="G543" s="18">
        <f>3204.69</f>
        <v>3204.69</v>
      </c>
      <c r="H543" s="18">
        <v>231.25</v>
      </c>
      <c r="I543" s="18"/>
      <c r="J543" s="18"/>
      <c r="K543" s="18"/>
      <c r="L543" s="88">
        <f>SUM(F543:K543)</f>
        <v>27608.949999999997</v>
      </c>
      <c r="M543" s="8"/>
      <c r="N543" s="264"/>
    </row>
    <row r="544" spans="1:14" s="3" customFormat="1" ht="12.2" customHeight="1" thickBot="1" x14ac:dyDescent="0.2">
      <c r="A544" s="22" t="s">
        <v>635</v>
      </c>
      <c r="B544" s="105">
        <v>21</v>
      </c>
      <c r="C544" s="105">
        <v>19</v>
      </c>
      <c r="D544" s="2" t="s">
        <v>432</v>
      </c>
      <c r="E544" s="105"/>
      <c r="F544" s="18">
        <f>36259.52</f>
        <v>36259.519999999997</v>
      </c>
      <c r="G544" s="18">
        <f>4807.04</f>
        <v>4807.04</v>
      </c>
      <c r="H544" s="18"/>
      <c r="I544" s="18"/>
      <c r="J544" s="18"/>
      <c r="K544" s="18"/>
      <c r="L544" s="88">
        <f>SUM(F544:K544)</f>
        <v>41066.559999999998</v>
      </c>
      <c r="M544" s="8"/>
      <c r="N544" s="264"/>
    </row>
    <row r="545" spans="1:14" s="3" customFormat="1" ht="12.2" customHeight="1" thickTop="1" thickBot="1" x14ac:dyDescent="0.2">
      <c r="A545" s="130" t="s">
        <v>71</v>
      </c>
      <c r="B545" s="191">
        <v>21</v>
      </c>
      <c r="C545" s="191">
        <v>20</v>
      </c>
      <c r="D545" s="192" t="s">
        <v>432</v>
      </c>
      <c r="E545" s="191"/>
      <c r="F545" s="193">
        <f>SUM(F542:F544)</f>
        <v>97615.06</v>
      </c>
      <c r="G545" s="193">
        <f t="shared" ref="G545:L545" si="40">SUM(G542:G544)</f>
        <v>12960.02</v>
      </c>
      <c r="H545" s="193">
        <f t="shared" si="40"/>
        <v>27181.25</v>
      </c>
      <c r="I545" s="193">
        <f t="shared" si="40"/>
        <v>0</v>
      </c>
      <c r="J545" s="193">
        <f t="shared" si="40"/>
        <v>0</v>
      </c>
      <c r="K545" s="193">
        <f t="shared" si="40"/>
        <v>0</v>
      </c>
      <c r="L545" s="193">
        <f t="shared" si="40"/>
        <v>137756.33000000002</v>
      </c>
      <c r="M545" s="8"/>
      <c r="N545" s="264"/>
    </row>
    <row r="546" spans="1:14" s="3" customFormat="1" ht="12.2" customHeight="1" thickTop="1" x14ac:dyDescent="0.15">
      <c r="A546" s="98" t="s">
        <v>72</v>
      </c>
      <c r="B546" s="107">
        <v>21</v>
      </c>
      <c r="C546" s="107">
        <v>21</v>
      </c>
      <c r="D546" s="158" t="s">
        <v>432</v>
      </c>
      <c r="E546" s="107"/>
      <c r="F546" s="89">
        <f>F525+F530+F535+F540+F545</f>
        <v>1442159.06</v>
      </c>
      <c r="G546" s="89">
        <f t="shared" ref="G546:L546" si="41">G525+G530+G535+G540+G545</f>
        <v>675418.5</v>
      </c>
      <c r="H546" s="89">
        <f t="shared" si="41"/>
        <v>1315130.25</v>
      </c>
      <c r="I546" s="89">
        <f t="shared" si="41"/>
        <v>15264</v>
      </c>
      <c r="J546" s="89">
        <f t="shared" si="41"/>
        <v>2393</v>
      </c>
      <c r="K546" s="89">
        <f t="shared" si="41"/>
        <v>1183</v>
      </c>
      <c r="L546" s="89">
        <f t="shared" si="41"/>
        <v>3451547.81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1477061</v>
      </c>
      <c r="G550" s="87">
        <f>L527</f>
        <v>161393</v>
      </c>
      <c r="H550" s="87">
        <f>L532</f>
        <v>34859.71</v>
      </c>
      <c r="I550" s="87">
        <f>L537</f>
        <v>0</v>
      </c>
      <c r="J550" s="87">
        <f>L542</f>
        <v>69080.820000000007</v>
      </c>
      <c r="K550" s="87">
        <f>SUM(F550:J550)</f>
        <v>1742394.53</v>
      </c>
      <c r="L550" s="24" t="s">
        <v>288</v>
      </c>
      <c r="M550" s="8"/>
      <c r="N550" s="264"/>
    </row>
    <row r="551" spans="1:14" s="3" customFormat="1" ht="12.2" customHeight="1" x14ac:dyDescent="0.15">
      <c r="A551" s="22" t="s">
        <v>634</v>
      </c>
      <c r="B551" s="75">
        <v>21</v>
      </c>
      <c r="C551" s="75">
        <v>23</v>
      </c>
      <c r="D551" s="2" t="s">
        <v>432</v>
      </c>
      <c r="E551" s="75"/>
      <c r="F551" s="87">
        <f>L523</f>
        <v>823403</v>
      </c>
      <c r="G551" s="87">
        <f>L528</f>
        <v>196699</v>
      </c>
      <c r="H551" s="87">
        <f>L533</f>
        <v>20920.22</v>
      </c>
      <c r="I551" s="87">
        <f>L538</f>
        <v>0</v>
      </c>
      <c r="J551" s="87">
        <f>L543</f>
        <v>27608.949999999997</v>
      </c>
      <c r="K551" s="87">
        <f>SUM(F551:J551)</f>
        <v>1068631.17</v>
      </c>
      <c r="L551" s="24" t="s">
        <v>288</v>
      </c>
      <c r="M551" s="8"/>
      <c r="N551" s="264"/>
    </row>
    <row r="552" spans="1:14" s="3" customFormat="1" ht="12.2" customHeight="1" thickBot="1" x14ac:dyDescent="0.2">
      <c r="A552" s="22" t="s">
        <v>635</v>
      </c>
      <c r="B552" s="75">
        <v>21</v>
      </c>
      <c r="C552" s="75">
        <v>24</v>
      </c>
      <c r="D552" s="2" t="s">
        <v>432</v>
      </c>
      <c r="E552" s="75"/>
      <c r="F552" s="87">
        <f>L524</f>
        <v>409067</v>
      </c>
      <c r="G552" s="87">
        <f>L529</f>
        <v>159132</v>
      </c>
      <c r="H552" s="87">
        <f>L534</f>
        <v>31256.55</v>
      </c>
      <c r="I552" s="87">
        <f>L539</f>
        <v>0</v>
      </c>
      <c r="J552" s="87">
        <f>L544</f>
        <v>41066.559999999998</v>
      </c>
      <c r="K552" s="87">
        <f>SUM(F552:J552)</f>
        <v>640522.1100000001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2709531</v>
      </c>
      <c r="G553" s="89">
        <f t="shared" si="42"/>
        <v>517224</v>
      </c>
      <c r="H553" s="89">
        <f t="shared" si="42"/>
        <v>87036.479999999996</v>
      </c>
      <c r="I553" s="89">
        <f t="shared" si="42"/>
        <v>0</v>
      </c>
      <c r="J553" s="89">
        <f t="shared" si="42"/>
        <v>137756.33000000002</v>
      </c>
      <c r="K553" s="89">
        <f t="shared" si="42"/>
        <v>3451547.8100000005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v>18835.3</v>
      </c>
      <c r="H576" s="18">
        <f>860</f>
        <v>860</v>
      </c>
      <c r="I576" s="87">
        <f>SUM(F576:H576)</f>
        <v>19695.3</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f>36879.57</f>
        <v>36879.57</v>
      </c>
      <c r="I580" s="87">
        <f t="shared" si="47"/>
        <v>36879.57</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145276.91</f>
        <v>145276.91</v>
      </c>
      <c r="G583" s="18">
        <f>402039.34</f>
        <v>402039.34</v>
      </c>
      <c r="H583" s="18">
        <f>270611.47</f>
        <v>270611.46999999997</v>
      </c>
      <c r="I583" s="87">
        <f t="shared" si="47"/>
        <v>817927.72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f>24546.09</f>
        <v>24546.09</v>
      </c>
      <c r="I585" s="87">
        <f t="shared" si="47"/>
        <v>24546.09</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790.43+40777.09+10700+28628.53+231.46+3228.7+649.74+2371.99+919.03+32652.61+22199.28+2145.9+652.47+12448.72+442+412.8+401.78</f>
        <v>159652.52999999997</v>
      </c>
      <c r="I592" s="18">
        <f>595.94+24283.9+6420.1+17231.95+138.87+1923.19+389.79+1403.68+43331.86</f>
        <v>95719.28</v>
      </c>
      <c r="J592" s="18">
        <f>1311.98+36425.85+9630.15+25847.93+208.31+2884.79+584.69+2105.52+64997.79</f>
        <v>143997.01</v>
      </c>
      <c r="K592" s="104">
        <f t="shared" ref="K592:K598" si="48">SUM(H592:J592)</f>
        <v>399368.81999999995</v>
      </c>
      <c r="L592" s="24" t="s">
        <v>288</v>
      </c>
      <c r="M592" s="8"/>
      <c r="N592" s="264"/>
    </row>
    <row r="593" spans="1:14" s="3" customFormat="1" ht="12.2" customHeight="1" x14ac:dyDescent="0.15">
      <c r="A593" s="3" t="s">
        <v>638</v>
      </c>
      <c r="B593" s="75">
        <v>23</v>
      </c>
      <c r="C593" s="75">
        <v>2</v>
      </c>
      <c r="D593" s="2" t="s">
        <v>432</v>
      </c>
      <c r="E593" s="75"/>
      <c r="F593" s="102">
        <v>2722</v>
      </c>
      <c r="G593" s="103" t="s">
        <v>97</v>
      </c>
      <c r="H593" s="18">
        <f>37182.53+2844.45+2103.84+26950</f>
        <v>69080.819999999992</v>
      </c>
      <c r="I593" s="18">
        <f>24173.01+1849.26+1355.43+231.25</f>
        <v>27608.949999999997</v>
      </c>
      <c r="J593" s="18">
        <f>36259.52+2773.89+2033.15</f>
        <v>41066.559999999998</v>
      </c>
      <c r="K593" s="104">
        <f t="shared" si="48"/>
        <v>137756.32999999999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34065.93+13597.17+2351.71+3700.01</f>
        <v>53714.82</v>
      </c>
      <c r="K594" s="104">
        <f t="shared" si="48"/>
        <v>53714.82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f>895.03+65.77+78.09</f>
        <v>1038.8899999999999</v>
      </c>
      <c r="J595" s="18">
        <f>1342.55+98.66+117.12</f>
        <v>1558.33</v>
      </c>
      <c r="K595" s="104">
        <f t="shared" si="48"/>
        <v>2597.2199999999998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f>271.79</f>
        <v>271.79000000000002</v>
      </c>
      <c r="J596" s="18"/>
      <c r="K596" s="104">
        <f t="shared" si="48"/>
        <v>271.79000000000002</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228733.34999999998</v>
      </c>
      <c r="I599" s="108">
        <f>SUM(I592:I598)</f>
        <v>124638.90999999999</v>
      </c>
      <c r="J599" s="108">
        <f>SUM(J592:J598)</f>
        <v>240336.72</v>
      </c>
      <c r="K599" s="108">
        <f>SUM(K592:K598)</f>
        <v>593708.97999999986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22221.05+5127+3393.46+678.11+3638.1+1252.35+1946.32+1794.1+553.97+442+412.8+921.16+326.92+111.5</f>
        <v>42818.840000000004</v>
      </c>
      <c r="I605" s="18">
        <f>13332.63+630.97+75.92+2182.86+1362.13+751.99+35.06+990+265.2+247.68</f>
        <v>19874.440000000002</v>
      </c>
      <c r="J605" s="18">
        <f>3258.12+527.28+769.32+512.5+208.9+19998.95+946.45+113.88+270+3004.29</f>
        <v>29609.690000000002</v>
      </c>
      <c r="K605" s="104">
        <f>SUM(H605:J605)</f>
        <v>92302.97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42818.840000000004</v>
      </c>
      <c r="I606" s="108">
        <f>SUM(I603:I605)</f>
        <v>19874.440000000002</v>
      </c>
      <c r="J606" s="108">
        <f>SUM(J603:J605)</f>
        <v>29609.690000000002</v>
      </c>
      <c r="K606" s="108">
        <f>SUM(K603:K605)</f>
        <v>92302.97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4772.33+2093.75+13141.91</f>
        <v>20007.989999999998</v>
      </c>
      <c r="G612" s="18">
        <f>365.08+160.17+356+372.69+1005.33+1780</f>
        <v>4039.27</v>
      </c>
      <c r="H612" s="18"/>
      <c r="I612" s="18"/>
      <c r="J612" s="18"/>
      <c r="K612" s="18"/>
      <c r="L612" s="88">
        <f>SUM(F612:K612)</f>
        <v>24047.26</v>
      </c>
      <c r="M612" s="8"/>
      <c r="N612" s="264"/>
    </row>
    <row r="613" spans="1:14" s="3" customFormat="1" ht="12.2" customHeight="1" x14ac:dyDescent="0.15">
      <c r="A613" s="22" t="s">
        <v>634</v>
      </c>
      <c r="B613" s="75">
        <v>23</v>
      </c>
      <c r="C613" s="75">
        <v>14</v>
      </c>
      <c r="D613" s="2" t="s">
        <v>432</v>
      </c>
      <c r="E613" s="75"/>
      <c r="F613" s="18">
        <f>9656.37</f>
        <v>9656.3700000000008</v>
      </c>
      <c r="G613" s="18">
        <f>2350.34</f>
        <v>2350.34</v>
      </c>
      <c r="H613" s="18"/>
      <c r="I613" s="18"/>
      <c r="J613" s="18"/>
      <c r="K613" s="18"/>
      <c r="L613" s="88">
        <f>SUM(F613:K613)</f>
        <v>12006.710000000001</v>
      </c>
      <c r="M613" s="8"/>
      <c r="N613" s="264"/>
    </row>
    <row r="614" spans="1:14" s="3" customFormat="1" ht="12.2" customHeight="1" thickBot="1" x14ac:dyDescent="0.2">
      <c r="A614" s="22" t="s">
        <v>645</v>
      </c>
      <c r="B614" s="75">
        <v>23</v>
      </c>
      <c r="C614" s="75">
        <v>15</v>
      </c>
      <c r="D614" s="2" t="s">
        <v>432</v>
      </c>
      <c r="E614" s="75"/>
      <c r="F614" s="18">
        <f>2000+14484.56</f>
        <v>16484.559999999998</v>
      </c>
      <c r="G614" s="18">
        <f>153+356+3525.51</f>
        <v>4034.51</v>
      </c>
      <c r="H614" s="18"/>
      <c r="I614" s="18"/>
      <c r="J614" s="18"/>
      <c r="K614" s="18"/>
      <c r="L614" s="88">
        <f>SUM(F614:K614)</f>
        <v>20519.07</v>
      </c>
      <c r="M614" s="8"/>
      <c r="N614" s="264"/>
    </row>
    <row r="615" spans="1:14" s="3" customFormat="1" ht="12.2" customHeight="1" thickTop="1" x14ac:dyDescent="0.15">
      <c r="A615" s="98" t="s">
        <v>340</v>
      </c>
      <c r="B615" s="107">
        <v>23</v>
      </c>
      <c r="C615" s="107">
        <v>16</v>
      </c>
      <c r="D615" s="39" t="s">
        <v>432</v>
      </c>
      <c r="E615" s="107"/>
      <c r="F615" s="108">
        <f t="shared" ref="F615:L615" si="49">SUM(F612:F614)</f>
        <v>46148.92</v>
      </c>
      <c r="G615" s="108">
        <f t="shared" si="49"/>
        <v>10424.120000000001</v>
      </c>
      <c r="H615" s="108">
        <f t="shared" si="49"/>
        <v>0</v>
      </c>
      <c r="I615" s="108">
        <f t="shared" si="49"/>
        <v>0</v>
      </c>
      <c r="J615" s="108">
        <f t="shared" si="49"/>
        <v>0</v>
      </c>
      <c r="K615" s="108">
        <f t="shared" si="49"/>
        <v>0</v>
      </c>
      <c r="L615" s="89">
        <f t="shared" si="49"/>
        <v>56573.04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698368.89</v>
      </c>
      <c r="H618" s="109">
        <f>SUM(F52)</f>
        <v>698368.89000000013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22362.71</v>
      </c>
      <c r="H619" s="109">
        <f>SUM(G52)</f>
        <v>22362.71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191131.88</v>
      </c>
      <c r="H620" s="109">
        <f>SUM(H52)</f>
        <v>191131.88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432944.44000000006</v>
      </c>
      <c r="H622" s="109">
        <f>SUM(J52)</f>
        <v>432944.43999999994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697214.02</v>
      </c>
      <c r="H623" s="109">
        <f>F477</f>
        <v>697214.02000000142</v>
      </c>
      <c r="I623" s="121" t="s">
        <v>101</v>
      </c>
      <c r="J623" s="109">
        <f t="shared" ref="J623:J656" si="50">G623-H623</f>
        <v>-1.3969838619232178E-9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432944.43999999994</v>
      </c>
      <c r="H627" s="109">
        <f>J477</f>
        <v>432944.43999999994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10367251.09</v>
      </c>
      <c r="H628" s="104">
        <f>SUM(F469)</f>
        <v>10367251.09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236675.25999999998</v>
      </c>
      <c r="H629" s="104">
        <f>SUM(G469)</f>
        <v>236675.26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1039081.56</v>
      </c>
      <c r="H630" s="104">
        <f>SUM(H469)</f>
        <v>1039081.56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125000</v>
      </c>
      <c r="H632" s="104">
        <f>SUM(J469)</f>
        <v>125000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10295186.950000001</v>
      </c>
      <c r="H633" s="104">
        <f>SUM(F473)</f>
        <v>10295186.949999999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1039081.56</v>
      </c>
      <c r="H634" s="104">
        <f>SUM(H473)</f>
        <v>1039081.56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249075.26</v>
      </c>
      <c r="H636" s="104">
        <f>SUM(G473)</f>
        <v>249075.26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125000</v>
      </c>
      <c r="H638" s="164">
        <f>SUM(J469)</f>
        <v>125000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109571.40000000001</v>
      </c>
      <c r="H639" s="164">
        <f>SUM(J473)</f>
        <v>109571.4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146845.78</v>
      </c>
      <c r="H640" s="104">
        <f>SUM(F462)</f>
        <v>146845.78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286098.66000000003</v>
      </c>
      <c r="H641" s="104">
        <f>SUM(G462)</f>
        <v>286098.65999999997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432944.44000000006</v>
      </c>
      <c r="H643" s="104">
        <f>SUM(I462)</f>
        <v>432944.43999999994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125000</v>
      </c>
      <c r="H647" s="104">
        <f>L409</f>
        <v>125000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593708.97999999986</v>
      </c>
      <c r="H648" s="104">
        <f>L209+L227+L245</f>
        <v>593708.98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92302.97</v>
      </c>
      <c r="H649" s="104">
        <f>(J258+J339)-(J256+J337)</f>
        <v>92302.970000000016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228733.34999999998</v>
      </c>
      <c r="H650" s="104">
        <f>H599</f>
        <v>228733.34999999998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124638.91</v>
      </c>
      <c r="H651" s="104">
        <f>I599</f>
        <v>124638.90999999999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240336.72</v>
      </c>
      <c r="H652" s="104">
        <f>J599</f>
        <v>240336.72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39354.97</v>
      </c>
      <c r="H653" s="104">
        <f>K264+K346</f>
        <v>39354.97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4579885.8199999994</v>
      </c>
      <c r="G661" s="19">
        <f>(L230+L310+L360)</f>
        <v>2768344.2500000005</v>
      </c>
      <c r="H661" s="19">
        <f>(L248+L329+L361)</f>
        <v>3329780.4</v>
      </c>
      <c r="I661" s="19">
        <f>SUM(F661:H661)</f>
        <v>10678010.470000001</v>
      </c>
      <c r="J661" s="13"/>
      <c r="K661" s="13"/>
      <c r="L661" s="13"/>
      <c r="M661" s="9"/>
    </row>
    <row r="662" spans="1:13" s="3" customFormat="1" ht="12.2" customHeight="1" x14ac:dyDescent="0.2">
      <c r="A662" s="1" t="s">
        <v>127</v>
      </c>
      <c r="F662" s="19">
        <f>(L359/IF(SUM(L359:L361)=0,1,SUM(L359:L361))*(SUM(G97:G110)))</f>
        <v>3042.6398778425446</v>
      </c>
      <c r="G662" s="19">
        <f>(L360/IF(SUM(L359:L361)=0,1,SUM(L359:L361))*(SUM(G97:G110)))</f>
        <v>1825.5842320991655</v>
      </c>
      <c r="H662" s="19">
        <f>(L361/IF(SUM(L359:L361)=0,1,SUM(L359:L361))*(SUM(G97:G110)))</f>
        <v>2738.3758900582898</v>
      </c>
      <c r="I662" s="19">
        <f>SUM(F662:H662)</f>
        <v>7606.5999999999995</v>
      </c>
      <c r="J662"/>
      <c r="K662" s="13"/>
      <c r="L662" s="13"/>
      <c r="M662" s="8"/>
    </row>
    <row r="663" spans="1:13" s="3" customFormat="1" ht="12.2" customHeight="1" x14ac:dyDescent="0.2">
      <c r="A663" s="1" t="s">
        <v>128</v>
      </c>
      <c r="F663" s="19">
        <f>(L209+L288)-(J209+J288)</f>
        <v>227878.55</v>
      </c>
      <c r="G663" s="19">
        <f>(L227+L307)-(J227+J307)</f>
        <v>124126.03</v>
      </c>
      <c r="H663" s="19">
        <f>(L245+L326)-(J245+J326)</f>
        <v>239567.4</v>
      </c>
      <c r="I663" s="19">
        <f>SUM(F663:H663)</f>
        <v>591571.98</v>
      </c>
      <c r="J663"/>
      <c r="K663" s="13"/>
      <c r="L663" s="13"/>
      <c r="M663" s="9"/>
    </row>
    <row r="664" spans="1:13" s="3" customFormat="1" ht="12.2" customHeight="1" x14ac:dyDescent="0.15">
      <c r="A664" s="198" t="s">
        <v>129</v>
      </c>
      <c r="B664" s="169"/>
      <c r="C664" s="169"/>
      <c r="D664" s="169"/>
      <c r="E664" s="169"/>
      <c r="F664" s="199">
        <f>SUM(F576:F588)+SUM(H603:H605)+SUM(L612)</f>
        <v>212143.01</v>
      </c>
      <c r="G664" s="199">
        <f>SUM(G576:G588)+SUM(I603:I605)+L613</f>
        <v>452755.79000000004</v>
      </c>
      <c r="H664" s="199">
        <f>SUM(H576:H588)+SUM(J603:J605)+L614</f>
        <v>383025.89</v>
      </c>
      <c r="I664" s="19">
        <f>SUM(F664:H664)</f>
        <v>1047924.6900000001</v>
      </c>
      <c r="J664" s="13"/>
      <c r="K664" s="13"/>
      <c r="L664" s="13"/>
      <c r="M664" s="9"/>
    </row>
    <row r="665" spans="1:13" s="3" customFormat="1" ht="12.2" customHeight="1" x14ac:dyDescent="0.15">
      <c r="A665" s="1" t="s">
        <v>130</v>
      </c>
      <c r="F665" s="19">
        <f>F661-SUM(F662:F664)</f>
        <v>4136821.620122157</v>
      </c>
      <c r="G665" s="19">
        <f>G661-SUM(G662:G664)</f>
        <v>2189636.8457679013</v>
      </c>
      <c r="H665" s="19">
        <f>H661-SUM(H662:H664)</f>
        <v>2704448.7341099419</v>
      </c>
      <c r="I665" s="19">
        <f>I661-SUM(I662:I664)</f>
        <v>9030907.2000000011</v>
      </c>
      <c r="J665" s="13"/>
      <c r="K665" s="13"/>
      <c r="L665" s="13"/>
      <c r="M665" s="8"/>
    </row>
    <row r="666" spans="1:13" s="3" customFormat="1" ht="12.2" customHeight="1" x14ac:dyDescent="0.25">
      <c r="A666" s="1" t="s">
        <v>131</v>
      </c>
      <c r="F666" s="359">
        <v>215.68</v>
      </c>
      <c r="G666" s="359">
        <v>125.15</v>
      </c>
      <c r="H666" s="359">
        <v>130.65</v>
      </c>
      <c r="I666" s="19">
        <f>SUM(F666:H666)</f>
        <v>471.48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19180.37</v>
      </c>
      <c r="G668" s="19">
        <f>ROUND(G665/G666,2)</f>
        <v>17496.099999999999</v>
      </c>
      <c r="H668" s="19">
        <f>ROUND(H665/H666,2)</f>
        <v>20699.95</v>
      </c>
      <c r="I668" s="19">
        <f>ROUND(I665/I666,2)</f>
        <v>19154.38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-7.83</v>
      </c>
      <c r="I671" s="19">
        <f>SUM(F671:H671)</f>
        <v>-7.83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19180.37</v>
      </c>
      <c r="G673" s="19">
        <f>ROUND((G665+G670)/(G666+G671),2)</f>
        <v>17496.099999999999</v>
      </c>
      <c r="H673" s="19">
        <f>ROUND((H665+H670)/(H666+H671),2)</f>
        <v>22019.61</v>
      </c>
      <c r="I673" s="19">
        <f>ROUND((I665+I670)/(I666+I671),2)</f>
        <v>19477.849999999999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3" zoomScaleNormal="100" workbookViewId="0">
      <selection activeCell="E23" sqref="E23"/>
    </sheetView>
  </sheetViews>
  <sheetFormatPr defaultColWidth="9.1640625" defaultRowHeight="15" x14ac:dyDescent="0.25"/>
  <cols>
    <col min="1" max="2" width="9.1640625" style="340"/>
    <col min="3" max="3" width="154.5" style="340" customWidth="1"/>
    <col min="4" max="4" width="9.1640625" style="340"/>
    <col min="5" max="5" width="14.1640625" style="340" customWidth="1"/>
    <col min="6" max="7" width="9.1640625" style="340"/>
    <col min="8" max="8" width="23.1640625" style="340" customWidth="1"/>
    <col min="9" max="9" width="14.1640625" style="340" customWidth="1"/>
    <col min="10" max="16384" width="9.16406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156139.4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239452.47</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f>
        <v>329352.13999999996</v>
      </c>
      <c r="F22" s="346"/>
    </row>
    <row r="23" spans="2:8" x14ac:dyDescent="0.25">
      <c r="B23" s="346"/>
      <c r="C23" s="346"/>
      <c r="D23" s="346"/>
      <c r="E23" s="346"/>
      <c r="F23" s="346"/>
    </row>
    <row r="24" spans="2:8" ht="26.25" customHeight="1" x14ac:dyDescent="0.25">
      <c r="B24" s="346"/>
      <c r="C24" s="348" t="s">
        <v>1661</v>
      </c>
      <c r="D24" s="346"/>
      <c r="E24" s="341">
        <f>12889.47+63600.68+64693.15+2629.03+72897.45</f>
        <v>216709.77999999997</v>
      </c>
      <c r="F24" s="346"/>
    </row>
    <row r="25" spans="2:8" ht="18" x14ac:dyDescent="0.25">
      <c r="B25" s="346"/>
      <c r="C25" s="349"/>
      <c r="D25" s="346"/>
      <c r="E25" s="346"/>
      <c r="F25" s="346"/>
    </row>
    <row r="26" spans="2:8" ht="27.75" customHeight="1" x14ac:dyDescent="0.25">
      <c r="B26" s="346"/>
      <c r="C26" s="348" t="s">
        <v>1662</v>
      </c>
      <c r="D26" s="346"/>
      <c r="E26" s="341">
        <f>77165.28+19270.13+16206.95</f>
        <v>112642.36</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f>8345.25+58181.66+2341.85-2629.03</f>
        <v>66239.73000000001</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9" orientation="landscape" copies="2"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Milton School District</v>
      </c>
      <c r="C5" s="363"/>
      <c r="D5" s="363"/>
      <c r="E5" s="363"/>
      <c r="F5" s="363"/>
    </row>
    <row r="8" spans="1:9" ht="18" x14ac:dyDescent="0.25">
      <c r="A8" s="317" t="s">
        <v>1576</v>
      </c>
      <c r="F8" s="324" t="s">
        <v>1594</v>
      </c>
    </row>
    <row r="9" spans="1:9" ht="15" x14ac:dyDescent="0.2">
      <c r="A9" s="315" t="s">
        <v>1577</v>
      </c>
      <c r="B9" s="318">
        <f>'DOE25'!G97</f>
        <v>7606.6</v>
      </c>
      <c r="F9" s="315" t="s">
        <v>1590</v>
      </c>
    </row>
    <row r="10" spans="1:9" ht="15" x14ac:dyDescent="0.2">
      <c r="A10" s="315" t="s">
        <v>1578</v>
      </c>
      <c r="B10" s="318">
        <f>'DOE25'!G112-'DOE25'!G97</f>
        <v>0</v>
      </c>
      <c r="F10" s="315" t="s">
        <v>1591</v>
      </c>
    </row>
    <row r="11" spans="1:9" ht="15" x14ac:dyDescent="0.2">
      <c r="A11" s="315" t="s">
        <v>1579</v>
      </c>
      <c r="B11" s="318">
        <f>'DOE25'!G140</f>
        <v>18433.45</v>
      </c>
      <c r="F11" s="315" t="s">
        <v>1592</v>
      </c>
    </row>
    <row r="12" spans="1:9" ht="15" x14ac:dyDescent="0.2">
      <c r="A12" s="315" t="s">
        <v>1580</v>
      </c>
      <c r="B12" s="318">
        <f>'DOE25'!G170</f>
        <v>171280.24</v>
      </c>
      <c r="F12" s="315" t="s">
        <v>1593</v>
      </c>
    </row>
    <row r="13" spans="1:9" ht="15" x14ac:dyDescent="0.2">
      <c r="A13" s="315" t="s">
        <v>1581</v>
      </c>
      <c r="B13" s="318">
        <f>'DOE25'!G193-'DOE25'!G180</f>
        <v>0</v>
      </c>
      <c r="F13" s="315" t="s">
        <v>1603</v>
      </c>
    </row>
    <row r="14" spans="1:9" ht="18" x14ac:dyDescent="0.25">
      <c r="A14" s="317" t="s">
        <v>732</v>
      </c>
      <c r="B14" s="319">
        <f>SUM(B9:B13)</f>
        <v>197320.28999999998</v>
      </c>
    </row>
    <row r="16" spans="1:9" ht="18" x14ac:dyDescent="0.25">
      <c r="A16" s="317" t="s">
        <v>786</v>
      </c>
      <c r="F16" s="324" t="s">
        <v>1595</v>
      </c>
    </row>
    <row r="17" spans="1:6" ht="15" x14ac:dyDescent="0.2">
      <c r="A17" s="315" t="s">
        <v>1582</v>
      </c>
      <c r="B17" s="318">
        <f>'DOE25'!L363-'DOE25'!L362</f>
        <v>249075.26</v>
      </c>
      <c r="F17" s="315" t="s">
        <v>1596</v>
      </c>
    </row>
    <row r="18" spans="1:6" ht="15" x14ac:dyDescent="0.2">
      <c r="A18" s="315" t="s">
        <v>1583</v>
      </c>
      <c r="B18" s="328"/>
      <c r="F18" s="324" t="s">
        <v>1620</v>
      </c>
    </row>
    <row r="19" spans="1:6" ht="18" x14ac:dyDescent="0.25">
      <c r="A19" s="317" t="s">
        <v>725</v>
      </c>
      <c r="B19" s="319">
        <f>SUM(B17:B18)</f>
        <v>249075.26</v>
      </c>
    </row>
    <row r="21" spans="1:6" ht="18.75" thickBot="1" x14ac:dyDescent="0.3">
      <c r="A21" s="317" t="s">
        <v>1584</v>
      </c>
    </row>
    <row r="22" spans="1:6" ht="18.75" thickTop="1" x14ac:dyDescent="0.25">
      <c r="A22" s="317" t="s">
        <v>1585</v>
      </c>
      <c r="B22" s="323">
        <f>B14-B19</f>
        <v>-51754.97000000003</v>
      </c>
      <c r="F22" s="315" t="s">
        <v>1597</v>
      </c>
    </row>
    <row r="26" spans="1:6" ht="18" x14ac:dyDescent="0.25">
      <c r="A26" s="317" t="s">
        <v>186</v>
      </c>
    </row>
    <row r="27" spans="1:6" ht="15" x14ac:dyDescent="0.2">
      <c r="A27" s="315" t="s">
        <v>1586</v>
      </c>
      <c r="B27" s="318">
        <f>'DOE25'!G180</f>
        <v>39354.97</v>
      </c>
      <c r="F27" s="315" t="s">
        <v>1598</v>
      </c>
    </row>
    <row r="28" spans="1:6" ht="15" x14ac:dyDescent="0.2">
      <c r="A28" s="315" t="s">
        <v>1588</v>
      </c>
      <c r="B28" s="318">
        <f>'DOE25'!L362</f>
        <v>0</v>
      </c>
      <c r="F28" s="315" t="s">
        <v>1599</v>
      </c>
    </row>
    <row r="31" spans="1:6" ht="15" x14ac:dyDescent="0.2">
      <c r="A31" s="315" t="s">
        <v>1628</v>
      </c>
      <c r="B31" s="318">
        <f>'DOE25'!G466</f>
        <v>12400</v>
      </c>
      <c r="F31" s="315" t="s">
        <v>1600</v>
      </c>
    </row>
    <row r="33" spans="1:6" ht="15" x14ac:dyDescent="0.2">
      <c r="A33" s="315" t="s">
        <v>1629</v>
      </c>
      <c r="B33" s="318">
        <f>'DOE25'!G477</f>
        <v>0</v>
      </c>
      <c r="F33" s="315" t="s">
        <v>1601</v>
      </c>
    </row>
    <row r="36" spans="1:6" ht="15" x14ac:dyDescent="0.2">
      <c r="A36" s="315" t="s">
        <v>1587</v>
      </c>
      <c r="B36" s="329">
        <v>15267.62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C38" sqref="C38"/>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Milton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2111618.5500000003</v>
      </c>
      <c r="C9" s="229">
        <f>'DOE25'!G198+'DOE25'!G216+'DOE25'!G234+'DOE25'!G277+'DOE25'!G296+'DOE25'!G315</f>
        <v>1028382.9600000001</v>
      </c>
    </row>
    <row r="10" spans="1:3" x14ac:dyDescent="0.2">
      <c r="A10" t="s">
        <v>775</v>
      </c>
      <c r="B10" s="240">
        <f>858681.16+426252.63+547067.27+437.5+44445.5+57457.3+11352.55+50300</f>
        <v>1995993.9100000001</v>
      </c>
      <c r="C10" s="240">
        <f>2666.66+17916.7+482.2+8.96+44.8+21.6+103.73+33.13+77.88+1420.43+668.61+8912.45+438.38+890+221863.77+89476.73+151150.94+8261.74+4839.46+5681.98+834.5+464.78+615.45+2119.76+1080.58+1368.46+62512.4+32914.67+39266.03+147419.75+76947.28+97947.44</f>
        <v>978451.25000000023</v>
      </c>
    </row>
    <row r="11" spans="1:3" x14ac:dyDescent="0.2">
      <c r="A11" t="s">
        <v>776</v>
      </c>
      <c r="B11" s="240">
        <f>27074.43+5069+10718.46</f>
        <v>42861.89</v>
      </c>
      <c r="C11" s="240">
        <f>4385.91+1039.45+977.74+1505.33+5040.44+2539.9+2332.63</f>
        <v>17821.399999999998</v>
      </c>
    </row>
    <row r="12" spans="1:3" x14ac:dyDescent="0.2">
      <c r="A12" t="s">
        <v>777</v>
      </c>
      <c r="B12" s="240">
        <f>11630.01+13675.43+16051.45+5000+13620.64+12785.22</f>
        <v>72762.75</v>
      </c>
      <c r="C12" s="240">
        <f>868.31+629.84+387.81+635.1+3105.02+382.5+261.38+1907.9+488.49+885.43+1044.55+1226.84+265.39+553.82+511.24+18956.69</f>
        <v>32110.309999999998</v>
      </c>
    </row>
    <row r="13" spans="1:3" x14ac:dyDescent="0.2">
      <c r="A13" t="str">
        <f>IF(B9=B13,IF(C9=C13,"Check Total OK","Check Total Error"),"Check Total Error")</f>
        <v>Check Total OK</v>
      </c>
      <c r="B13" s="231">
        <f>SUM(B10:B12)</f>
        <v>2111618.5499999998</v>
      </c>
      <c r="C13" s="231">
        <f>SUM(C10:C12)</f>
        <v>1028382.9600000002</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1024367.8199999998</v>
      </c>
      <c r="C18" s="229">
        <f>'DOE25'!G199+'DOE25'!G217+'DOE25'!G235+'DOE25'!G278+'DOE25'!G297+'DOE25'!G316</f>
        <v>523964.23000000016</v>
      </c>
    </row>
    <row r="19" spans="1:3" x14ac:dyDescent="0.2">
      <c r="A19" t="s">
        <v>775</v>
      </c>
      <c r="B19" s="240">
        <f>35632+164701.05+83027.92+101081.04+4772.33+2093.75+2000</f>
        <v>393308.08999999997</v>
      </c>
      <c r="C19" s="240">
        <f>6062.51+41533.26+39053.03+15181.28+13750.6+1762.2+482.2+169.58+1090.06+134.34+52.76+114.7+120.03+404.37+87.32+199.65+290.39+2677.58+11513.61+6718.75+8125.34+365.08+160.17+153+6342.52+29380.24+14778.95+17801.4+356+372.69+356+3913.223</f>
        <v>223502.83299999996</v>
      </c>
    </row>
    <row r="20" spans="1:3" x14ac:dyDescent="0.2">
      <c r="A20" t="s">
        <v>776</v>
      </c>
      <c r="B20" s="240">
        <f>4207.67+110932.11+71878.23+91737.56+120213.19+130915.9</f>
        <v>529884.66</v>
      </c>
      <c r="C20" s="240">
        <f>321.88+470+84511+77010.24+17175.96+9708.64+5616.98+7048.51+9747.97+9676.7+12127.8+8028.84+10247.15+13427.88+14623.4</f>
        <v>279742.95</v>
      </c>
    </row>
    <row r="21" spans="1:3" x14ac:dyDescent="0.2">
      <c r="A21" t="s">
        <v>777</v>
      </c>
      <c r="B21" s="240">
        <f>4330+28750.34+17250.56+25756.1+8364.7+8362.03+8361.34</f>
        <v>101175.06999999999</v>
      </c>
      <c r="C21" s="240">
        <f>331.24+483.66+1833.2+1103.96+1651.93+607.35+607.15+607.2+4276.17+2565.7+3848.52+934.37+934.06+933.94</f>
        <v>20718.45</v>
      </c>
    </row>
    <row r="22" spans="1:3" x14ac:dyDescent="0.2">
      <c r="A22" t="str">
        <f>IF(B18=B22,IF(C18=C22,"Check Total OK","Check Total Error"),"Check Total Error")</f>
        <v>Check Total Error</v>
      </c>
      <c r="B22" s="231">
        <f>SUM(B19:B21)</f>
        <v>1024367.82</v>
      </c>
      <c r="C22" s="231">
        <f>SUM(C19:C21)</f>
        <v>523964.23299999995</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54344</v>
      </c>
      <c r="C27" s="234">
        <f>'DOE25'!G200+'DOE25'!G218+'DOE25'!G236+'DOE25'!G279+'DOE25'!G298+'DOE25'!G317</f>
        <v>19426.21</v>
      </c>
    </row>
    <row r="28" spans="1:3" x14ac:dyDescent="0.2">
      <c r="A28" t="s">
        <v>775</v>
      </c>
      <c r="B28" s="240">
        <v>54344</v>
      </c>
      <c r="C28" s="240">
        <f>4000+493.7+52.76+137.45+4463.38+9673.28+605.64</f>
        <v>19426.21</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54344</v>
      </c>
      <c r="C31" s="231">
        <f>SUM(C28:C30)</f>
        <v>19426.21</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101519.87</v>
      </c>
      <c r="C36" s="235">
        <f>'DOE25'!G201+'DOE25'!G219+'DOE25'!G237+'DOE25'!G280+'DOE25'!G299+'DOE25'!G318</f>
        <v>21152.240000000005</v>
      </c>
    </row>
    <row r="37" spans="1:3" x14ac:dyDescent="0.2">
      <c r="A37" t="s">
        <v>775</v>
      </c>
      <c r="B37" s="240">
        <f>11600+19550+8400+7110+15390+13141.91+24140.92</f>
        <v>99332.83</v>
      </c>
      <c r="C37" s="240">
        <f>886.7+1493.72+642.64+543.92+1177.32+706.77+1202.4+1362.28+1117.26+2383.12+1005.33+1846.72+1780+4029.13+686.81</f>
        <v>20864.12</v>
      </c>
    </row>
    <row r="38" spans="1:3" x14ac:dyDescent="0.2">
      <c r="A38" t="s">
        <v>776</v>
      </c>
      <c r="B38" s="240">
        <f>1151.04</f>
        <v>1151.04</v>
      </c>
      <c r="C38" s="240">
        <f>88.05</f>
        <v>88.05</v>
      </c>
    </row>
    <row r="39" spans="1:3" x14ac:dyDescent="0.2">
      <c r="A39" t="s">
        <v>777</v>
      </c>
      <c r="B39" s="240">
        <f>646+390</f>
        <v>1036</v>
      </c>
      <c r="C39" s="240">
        <f>48.31+29.43+61.86+60.47</f>
        <v>200.07000000000002</v>
      </c>
    </row>
    <row r="40" spans="1:3" x14ac:dyDescent="0.2">
      <c r="A40" t="str">
        <f>IF(B36=B40,IF(C36=C40,"Check Total OK","Check Total Error"),"Check Total Error")</f>
        <v>Check Total OK</v>
      </c>
      <c r="B40" s="231">
        <f>SUM(B37:B39)</f>
        <v>101519.87</v>
      </c>
      <c r="C40" s="231">
        <f>SUM(C37:C39)</f>
        <v>21152.239999999998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5" sqref="F5"/>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6" t="s">
        <v>892</v>
      </c>
      <c r="B1" s="369"/>
      <c r="C1" s="369"/>
      <c r="D1" s="369"/>
      <c r="E1" s="369"/>
      <c r="F1" s="369"/>
      <c r="G1" s="369"/>
      <c r="H1" s="369"/>
      <c r="I1" s="181"/>
    </row>
    <row r="2" spans="1:9" x14ac:dyDescent="0.2">
      <c r="A2" s="33" t="s">
        <v>713</v>
      </c>
      <c r="B2" s="258" t="str">
        <f>'DOE25'!A2</f>
        <v>Milton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6142995.9900000002</v>
      </c>
      <c r="D5" s="20">
        <f>SUM('DOE25'!L198:L201)+SUM('DOE25'!L216:L219)+SUM('DOE25'!L234:L237)-F5-G5-H5</f>
        <v>6126109.2700000005</v>
      </c>
      <c r="E5" s="243"/>
      <c r="F5" s="244"/>
      <c r="G5" s="53">
        <f>SUM('DOE25'!J198:J201)+SUM('DOE25'!J216:J219)+SUM('DOE25'!J234:J237)</f>
        <v>13192.72</v>
      </c>
      <c r="H5" s="53">
        <f>SUM('DOE25'!K198:K201)+SUM('DOE25'!K216:K219)+SUM('DOE25'!K234:K237)</f>
        <v>3694</v>
      </c>
      <c r="I5" s="254"/>
    </row>
    <row r="6" spans="1:9" x14ac:dyDescent="0.2">
      <c r="A6" s="32">
        <v>2100</v>
      </c>
      <c r="B6" t="s">
        <v>796</v>
      </c>
      <c r="C6" s="273">
        <f t="shared" si="0"/>
        <v>437252.87</v>
      </c>
      <c r="D6" s="20">
        <f>'DOE25'!L203+'DOE25'!L221+'DOE25'!L239-F6-G6-H6</f>
        <v>436738.37</v>
      </c>
      <c r="E6" s="243"/>
      <c r="F6" s="244"/>
      <c r="G6" s="53">
        <f>'DOE25'!J203+'DOE25'!J221+'DOE25'!J239</f>
        <v>111.5</v>
      </c>
      <c r="H6" s="53">
        <f>'DOE25'!K203+'DOE25'!K221+'DOE25'!K239</f>
        <v>403</v>
      </c>
      <c r="I6" s="254"/>
    </row>
    <row r="7" spans="1:9" x14ac:dyDescent="0.2">
      <c r="A7" s="32">
        <v>2200</v>
      </c>
      <c r="B7" t="s">
        <v>821</v>
      </c>
      <c r="C7" s="273">
        <f t="shared" si="0"/>
        <v>224872.62</v>
      </c>
      <c r="D7" s="20">
        <f>'DOE25'!L204+'DOE25'!L222+'DOE25'!L240-F7-G7-H7</f>
        <v>224872.62</v>
      </c>
      <c r="E7" s="243"/>
      <c r="F7" s="244"/>
      <c r="G7" s="53">
        <f>'DOE25'!J204+'DOE25'!J222+'DOE25'!J240</f>
        <v>0</v>
      </c>
      <c r="H7" s="53">
        <f>'DOE25'!K204+'DOE25'!K222+'DOE25'!K240</f>
        <v>0</v>
      </c>
      <c r="I7" s="254"/>
    </row>
    <row r="8" spans="1:9" x14ac:dyDescent="0.2">
      <c r="A8" s="32">
        <v>2300</v>
      </c>
      <c r="B8" t="s">
        <v>797</v>
      </c>
      <c r="C8" s="273">
        <f t="shared" si="0"/>
        <v>171555.83000000005</v>
      </c>
      <c r="D8" s="243"/>
      <c r="E8" s="20">
        <f>'DOE25'!L205+'DOE25'!L223+'DOE25'!L241-F8-G8-H8-D9-D11</f>
        <v>165289.65000000005</v>
      </c>
      <c r="F8" s="244"/>
      <c r="G8" s="53">
        <f>'DOE25'!J205+'DOE25'!J223+'DOE25'!J241</f>
        <v>0</v>
      </c>
      <c r="H8" s="53">
        <f>'DOE25'!K205+'DOE25'!K223+'DOE25'!K241</f>
        <v>6266.18</v>
      </c>
      <c r="I8" s="254"/>
    </row>
    <row r="9" spans="1:9" ht="14.25" x14ac:dyDescent="0.2">
      <c r="A9" s="32">
        <v>2310</v>
      </c>
      <c r="B9" s="185" t="s">
        <v>888</v>
      </c>
      <c r="C9" s="273">
        <f t="shared" si="0"/>
        <v>94208.48</v>
      </c>
      <c r="D9" s="244">
        <v>94208.48</v>
      </c>
      <c r="E9" s="243"/>
      <c r="F9" s="251"/>
      <c r="G9" s="251"/>
      <c r="H9" s="251"/>
      <c r="I9" s="254"/>
    </row>
    <row r="10" spans="1:9" ht="14.25" x14ac:dyDescent="0.2">
      <c r="A10" s="32">
        <v>2317</v>
      </c>
      <c r="B10" s="185" t="s">
        <v>889</v>
      </c>
      <c r="C10" s="273">
        <f t="shared" si="0"/>
        <v>16477.25</v>
      </c>
      <c r="D10" s="243"/>
      <c r="E10" s="244">
        <f>6590.9+9886.35</f>
        <v>16477.25</v>
      </c>
      <c r="F10" s="251"/>
      <c r="G10" s="251"/>
      <c r="H10" s="251"/>
      <c r="I10" s="254"/>
    </row>
    <row r="11" spans="1:9" ht="14.25" x14ac:dyDescent="0.2">
      <c r="A11" s="32">
        <v>2321</v>
      </c>
      <c r="B11" s="185" t="s">
        <v>890</v>
      </c>
      <c r="C11" s="273">
        <f t="shared" si="0"/>
        <v>243780.21</v>
      </c>
      <c r="D11" s="244">
        <f>111219.2+56950.4+5500+11518.2+592.44+1146.72+171.84+145.22+273.11+8928.98+4356.71+11963.12+6361.37+2505.52+14740.16+1725.93+2505.26+3176.03</f>
        <v>243780.21</v>
      </c>
      <c r="E11" s="243"/>
      <c r="F11" s="251"/>
      <c r="G11" s="251"/>
      <c r="H11" s="251"/>
      <c r="I11" s="254"/>
    </row>
    <row r="12" spans="1:9" x14ac:dyDescent="0.2">
      <c r="A12" s="32">
        <v>2400</v>
      </c>
      <c r="B12" t="s">
        <v>711</v>
      </c>
      <c r="C12" s="273">
        <f t="shared" si="0"/>
        <v>589042.74</v>
      </c>
      <c r="D12" s="20">
        <f>'DOE25'!L206+'DOE25'!L224+'DOE25'!L242-F12-G12-H12</f>
        <v>586187.39</v>
      </c>
      <c r="E12" s="243"/>
      <c r="F12" s="244"/>
      <c r="G12" s="53">
        <f>'DOE25'!J206+'DOE25'!J224+'DOE25'!J242</f>
        <v>0</v>
      </c>
      <c r="H12" s="53">
        <f>'DOE25'!K206+'DOE25'!K224+'DOE25'!K242</f>
        <v>2855.3500000000004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776930.04</v>
      </c>
      <c r="D14" s="20">
        <f>'DOE25'!L208+'DOE25'!L226+'DOE25'!L244-F14-G14-H14</f>
        <v>776930.04</v>
      </c>
      <c r="E14" s="243"/>
      <c r="F14" s="244"/>
      <c r="G14" s="53">
        <f>'DOE25'!J208+'DOE25'!J226+'DOE25'!J244</f>
        <v>0</v>
      </c>
      <c r="H14" s="53">
        <f>'DOE25'!K208+'DOE25'!K226+'DOE25'!K244</f>
        <v>0</v>
      </c>
      <c r="I14" s="254"/>
    </row>
    <row r="15" spans="1:9" x14ac:dyDescent="0.2">
      <c r="A15" s="32">
        <v>2700</v>
      </c>
      <c r="B15" t="s">
        <v>799</v>
      </c>
      <c r="C15" s="273">
        <f t="shared" si="0"/>
        <v>593708.98</v>
      </c>
      <c r="D15" s="20">
        <f>'DOE25'!L209+'DOE25'!L227+'DOE25'!L245-F15-G15-H15</f>
        <v>590567.54</v>
      </c>
      <c r="E15" s="243"/>
      <c r="F15" s="244"/>
      <c r="G15" s="53">
        <f>'DOE25'!J209+'DOE25'!J227+'DOE25'!J245</f>
        <v>2137</v>
      </c>
      <c r="H15" s="53">
        <f>'DOE25'!K209+'DOE25'!K227+'DOE25'!K245</f>
        <v>1004.4399999999999</v>
      </c>
      <c r="I15" s="254"/>
    </row>
    <row r="16" spans="1:9" x14ac:dyDescent="0.2">
      <c r="A16" s="32">
        <v>2800</v>
      </c>
      <c r="B16" t="s">
        <v>800</v>
      </c>
      <c r="C16" s="273">
        <f t="shared" si="0"/>
        <v>115505.88999999998</v>
      </c>
      <c r="D16" s="243"/>
      <c r="E16" s="20">
        <f>'DOE25'!L210+'DOE25'!L228+'DOE25'!L246-F16-G16-H16</f>
        <v>48658.849999999977</v>
      </c>
      <c r="F16" s="244">
        <v>65598.960000000006</v>
      </c>
      <c r="G16" s="53">
        <f>'DOE25'!J210+'DOE25'!J228+'DOE25'!J246</f>
        <v>1248.08</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469538.33</v>
      </c>
      <c r="D22" s="243"/>
      <c r="E22" s="243"/>
      <c r="F22" s="243"/>
      <c r="G22" s="53">
        <f>'DOE25'!L256+'DOE25'!L337</f>
        <v>469538.33</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271440</v>
      </c>
      <c r="D25" s="243"/>
      <c r="E25" s="243"/>
      <c r="F25" s="253"/>
      <c r="G25" s="251"/>
      <c r="H25" s="251"/>
      <c r="I25" s="252">
        <f>'DOE25'!L261+'DOE25'!L262+'DOE25'!L342+'DOE25'!L343</f>
        <v>271440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249075.26</v>
      </c>
      <c r="D29" s="281">
        <f>'DOE25'!L359+'DOE25'!L360+'DOE25'!L361-'DOE25'!I368-F29-G29-H29</f>
        <v>16803.260000000009</v>
      </c>
      <c r="E29" s="243"/>
      <c r="F29" s="244">
        <v>232272</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1039081.56</v>
      </c>
      <c r="D31" s="20">
        <f>'DOE25'!L291+'DOE25'!L310+'DOE25'!L329+'DOE25'!L334+'DOE25'!L335+'DOE25'!L336-F31-G31-H31</f>
        <v>963467.89</v>
      </c>
      <c r="E31" s="243"/>
      <c r="F31" s="244"/>
      <c r="G31" s="53">
        <f>'DOE25'!J291+'DOE25'!J310+'DOE25'!J329+'DOE25'!J334+'DOE25'!J335+'DOE25'!J336</f>
        <v>75613.670000000013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10059665.070000002</v>
      </c>
      <c r="E33" s="245">
        <f t="shared" si="1"/>
        <v>230425.75000000003</v>
      </c>
      <c r="F33" s="245">
        <f t="shared" si="1"/>
        <v>297870.96000000002</v>
      </c>
      <c r="G33" s="245">
        <f t="shared" si="1"/>
        <v>561841.30000000005</v>
      </c>
      <c r="H33" s="245">
        <f t="shared" si="1"/>
        <v>14222.970000000001</v>
      </c>
      <c r="I33" s="245">
        <f t="shared" si="1"/>
        <v>271440</v>
      </c>
    </row>
    <row r="35" spans="1:9" ht="12" thickBot="1" x14ac:dyDescent="0.25">
      <c r="B35" s="249" t="s">
        <v>831</v>
      </c>
      <c r="D35" s="250">
        <f>E33</f>
        <v>230425.75000000003</v>
      </c>
      <c r="E35" s="246"/>
      <c r="F35" s="333" t="s">
        <v>1632</v>
      </c>
      <c r="G35" s="334"/>
      <c r="H35" s="334"/>
      <c r="I35" s="334"/>
    </row>
    <row r="36" spans="1:9" ht="12" thickTop="1" x14ac:dyDescent="0.2">
      <c r="B36" t="s">
        <v>810</v>
      </c>
      <c r="D36" s="20">
        <f>D33</f>
        <v>10059665.070000002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Milton School District</v>
      </c>
      <c r="B2" s="126">
        <f>'DOE25'!B2</f>
        <v>359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4480255.72</v>
      </c>
      <c r="G4" s="300">
        <f>'DOE25'!L212+'DOE25'!L291</f>
        <v>4480255.72</v>
      </c>
      <c r="H4" s="353">
        <f>F4-G4</f>
        <v>0</v>
      </c>
      <c r="I4" s="371" t="str">
        <f>IF(H4=0,"","ISSUES!! Please review page 7 and 11 totals in comparison with total on this page")</f>
        <v/>
      </c>
      <c r="N4"/>
    </row>
    <row r="5" spans="1:18" x14ac:dyDescent="0.2">
      <c r="A5" s="21" t="s">
        <v>1273</v>
      </c>
      <c r="B5" s="301">
        <f>IFERROR(VLOOKUP(A5,'School Tables'!$C$3:$D$365,2,FALSE),"")</f>
        <v>22075</v>
      </c>
      <c r="C5" s="294" t="str">
        <f>IFERROR(INDEX('School Tables'!$B$3:$B$365,MATCH('School Level Expenditures'!B5,'School Tables'!$D$3:$D$365,0)),"")</f>
        <v>Milton</v>
      </c>
      <c r="D5" s="291">
        <v>4129292.35</v>
      </c>
      <c r="E5" s="291">
        <v>350963.37</v>
      </c>
      <c r="F5" s="304">
        <f>D5+E5</f>
        <v>4480255.72</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4129292.35</v>
      </c>
      <c r="E21" s="351">
        <f>SUM(E5:E20)</f>
        <v>350963.37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2708566.18</v>
      </c>
      <c r="G24" s="300">
        <f>'DOE25'!L230+'DOE25'!L310</f>
        <v>2708566.1800000006</v>
      </c>
      <c r="H24" s="353">
        <f>F24-G24</f>
        <v>0</v>
      </c>
      <c r="I24" s="371" t="str">
        <f>IF(H24=0,"","ISSUES!! Please review page 8 and 12 totals in comparison with total on this page")</f>
        <v/>
      </c>
      <c r="N24"/>
    </row>
    <row r="25" spans="1:14" x14ac:dyDescent="0.2">
      <c r="A25" s="21" t="s">
        <v>1271</v>
      </c>
      <c r="B25" s="301">
        <f>IFERROR(VLOOKUP(A25,'School Tables'!$I$3:$J$80,2,FALSE),"")</f>
        <v>26540</v>
      </c>
      <c r="C25" s="294" t="str">
        <f t="array" ref="C25">IFERROR(INDEX('School Tables'!$H$3:$H$80,MATCH('School Level Expenditures'!B25,'School Tables'!$J$3:$J$80,0)),"")</f>
        <v>Milton</v>
      </c>
      <c r="D25" s="291">
        <v>2306298.7400000002</v>
      </c>
      <c r="E25" s="291">
        <v>402267.44</v>
      </c>
      <c r="F25" s="304">
        <f>D25+E25</f>
        <v>2708566.18</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2306298.7400000002</v>
      </c>
      <c r="E33" s="351">
        <f>SUM(E25:E32)</f>
        <v>402267.44</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3240113.31</v>
      </c>
      <c r="G36" s="300">
        <f>'DOE25'!L248+'DOE25'!L329</f>
        <v>3240113.31</v>
      </c>
      <c r="H36" s="353">
        <f>F36-G36</f>
        <v>0</v>
      </c>
      <c r="I36" s="371" t="str">
        <f>IF(H36=0,"","ISSUES!! Please review page 9 and 13 totals in comparison with total on this page")</f>
        <v/>
      </c>
      <c r="N36"/>
    </row>
    <row r="37" spans="1:14" x14ac:dyDescent="0.2">
      <c r="A37" s="21" t="s">
        <v>1272</v>
      </c>
      <c r="B37" s="301">
        <f>IFERROR(VLOOKUP(A37,'School Tables'!$O$3:$P$118,2,FALSE),"")</f>
        <v>22070</v>
      </c>
      <c r="C37" s="294" t="str">
        <f t="array" ref="C37">IFERROR(INDEX('School Tables'!$N$3:$N$118,MATCH('School Level Expenditures'!B37,'School Tables'!$P$3:$P$118,0)),"")</f>
        <v>Milton</v>
      </c>
      <c r="D37" s="291">
        <v>2954262.56</v>
      </c>
      <c r="E37" s="291">
        <v>285850.75</v>
      </c>
      <c r="F37" s="304">
        <f t="shared" ref="F37:F42" si="2">D37+E37</f>
        <v>3240113.31</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2954262.56</v>
      </c>
      <c r="E43" s="352">
        <f>SUM(E37:E42)</f>
        <v>285850.75</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1"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694636.25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432944.44000000006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22362.71</v>
      </c>
      <c r="E12" s="95">
        <f>'DOE25'!H13</f>
        <v>191131.88</v>
      </c>
      <c r="F12" s="95">
        <f>'DOE25'!I13</f>
        <v>0</v>
      </c>
      <c r="G12" s="95">
        <f>'DOE25'!J13</f>
        <v>0</v>
      </c>
      <c r="H12" s="124"/>
      <c r="I12" s="124"/>
    </row>
    <row r="13" spans="1:9" x14ac:dyDescent="0.2">
      <c r="A13" s="1" t="s">
        <v>144</v>
      </c>
      <c r="B13" s="6">
        <v>150</v>
      </c>
      <c r="C13" s="95">
        <f>'DOE25'!F14</f>
        <v>3732.64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698368.89</v>
      </c>
      <c r="D18" s="41">
        <f>SUM(D8:D17)</f>
        <v>22362.71</v>
      </c>
      <c r="E18" s="41">
        <f>SUM(E8:E17)</f>
        <v>191131.88</v>
      </c>
      <c r="F18" s="41">
        <f>SUM(F8:F17)</f>
        <v>0</v>
      </c>
      <c r="G18" s="41">
        <f>SUM(G8:G17)</f>
        <v>432944.44000000006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-197957.93</v>
      </c>
      <c r="D21" s="95">
        <f>'DOE25'!G22</f>
        <v>15960.45</v>
      </c>
      <c r="E21" s="95">
        <f>'DOE25'!H22</f>
        <v>181997.48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-77662.969999999987</v>
      </c>
      <c r="D23" s="95">
        <f>'DOE25'!G24</f>
        <v>6402.26</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276775.77</v>
      </c>
      <c r="D27" s="95">
        <f>'DOE25'!G28</f>
        <v>0</v>
      </c>
      <c r="E27" s="95">
        <f>'DOE25'!H28</f>
        <v>6634.4</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2500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1154.8700000000536</v>
      </c>
      <c r="D31" s="41">
        <f>SUM(D21:D30)</f>
        <v>22362.71</v>
      </c>
      <c r="E31" s="41">
        <f>SUM(E21:E30)</f>
        <v>191131.88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432944.43999999994</v>
      </c>
      <c r="H47" s="124"/>
      <c r="I47" s="124"/>
    </row>
    <row r="48" spans="1:9" x14ac:dyDescent="0.2">
      <c r="A48" s="1" t="s">
        <v>882</v>
      </c>
      <c r="B48" s="6">
        <v>753</v>
      </c>
      <c r="C48" s="95">
        <f>'DOE25'!F49</f>
        <v>275931.46000000002</v>
      </c>
      <c r="D48" s="95">
        <f>'DOE25'!G49</f>
        <v>0</v>
      </c>
      <c r="E48" s="95">
        <f>'DOE25'!H49</f>
        <v>0</v>
      </c>
      <c r="F48" s="95">
        <f>'DOE25'!I49</f>
        <v>0</v>
      </c>
      <c r="G48" s="95">
        <f>'DOE25'!J49</f>
        <v>0</v>
      </c>
      <c r="H48" s="124"/>
      <c r="I48" s="124"/>
    </row>
    <row r="49" spans="1:9" ht="12" thickBot="1" x14ac:dyDescent="0.25">
      <c r="A49" s="29" t="s">
        <v>883</v>
      </c>
      <c r="B49" s="71">
        <v>770</v>
      </c>
      <c r="C49" s="95">
        <f>'DOE25'!F50</f>
        <v>296282.56</v>
      </c>
      <c r="D49" s="24" t="s">
        <v>288</v>
      </c>
      <c r="E49" s="24" t="s">
        <v>288</v>
      </c>
      <c r="F49" s="24" t="s">
        <v>288</v>
      </c>
      <c r="G49" s="24" t="s">
        <v>288</v>
      </c>
      <c r="H49" s="124"/>
      <c r="I49" s="124"/>
    </row>
    <row r="50" spans="1:9" ht="12.75" thickTop="1" thickBot="1" x14ac:dyDescent="0.25">
      <c r="A50" s="38" t="s">
        <v>884</v>
      </c>
      <c r="B50" s="48"/>
      <c r="C50" s="41">
        <f>SUM(C34:C49)</f>
        <v>697214.02</v>
      </c>
      <c r="D50" s="41">
        <f>SUM(D34:D49)</f>
        <v>0</v>
      </c>
      <c r="E50" s="41">
        <f>SUM(E34:E49)</f>
        <v>0</v>
      </c>
      <c r="F50" s="41">
        <f>SUM(F34:F49)</f>
        <v>0</v>
      </c>
      <c r="G50" s="41">
        <f>SUM(G34:G49)</f>
        <v>432944.43999999994</v>
      </c>
      <c r="H50" s="124"/>
      <c r="I50" s="124"/>
    </row>
    <row r="51" spans="1:9" ht="12" thickTop="1" x14ac:dyDescent="0.2">
      <c r="A51" s="38" t="s">
        <v>885</v>
      </c>
      <c r="B51" s="2"/>
      <c r="C51" s="41">
        <f>C50+C31</f>
        <v>698368.89000000013</v>
      </c>
      <c r="D51" s="41">
        <f>D50+D31</f>
        <v>22362.71</v>
      </c>
      <c r="E51" s="41">
        <f>E50+E31</f>
        <v>191131.88</v>
      </c>
      <c r="F51" s="41">
        <f>F50+F31</f>
        <v>0</v>
      </c>
      <c r="G51" s="41">
        <f>G50+G31</f>
        <v>432944.43999999994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6506676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1511.81</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7606.6</v>
      </c>
      <c r="E60" s="24" t="s">
        <v>288</v>
      </c>
      <c r="F60" s="24" t="s">
        <v>288</v>
      </c>
      <c r="G60" s="24" t="s">
        <v>288</v>
      </c>
      <c r="H60"/>
      <c r="I60"/>
    </row>
    <row r="61" spans="1:9" ht="12" thickBot="1" x14ac:dyDescent="0.25">
      <c r="A61" s="1" t="s">
        <v>172</v>
      </c>
      <c r="B61" s="118" t="s">
        <v>173</v>
      </c>
      <c r="C61" s="95">
        <f>SUM('DOE25'!F98:F110)</f>
        <v>29985.57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31497.38</v>
      </c>
      <c r="D62" s="130">
        <f>SUM(D57:D61)</f>
        <v>7606.6</v>
      </c>
      <c r="E62" s="130">
        <f>SUM(E57:E61)</f>
        <v>0</v>
      </c>
      <c r="F62" s="130">
        <f>SUM(F57:F61)</f>
        <v>0</v>
      </c>
      <c r="G62" s="130">
        <f>SUM(G57:G61)</f>
        <v>0</v>
      </c>
      <c r="H62"/>
      <c r="I62"/>
    </row>
    <row r="63" spans="1:9" ht="12" thickTop="1" x14ac:dyDescent="0.2">
      <c r="A63" s="29" t="s">
        <v>175</v>
      </c>
      <c r="B63" s="6"/>
      <c r="C63" s="22">
        <f>C56+C62</f>
        <v>6538173.3799999999</v>
      </c>
      <c r="D63" s="22">
        <f>D56+D62</f>
        <v>7606.6</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2799036.83</v>
      </c>
      <c r="D66" s="24" t="s">
        <v>288</v>
      </c>
      <c r="E66" s="24" t="s">
        <v>288</v>
      </c>
      <c r="F66" s="24" t="s">
        <v>288</v>
      </c>
      <c r="G66" s="24" t="s">
        <v>288</v>
      </c>
      <c r="H66"/>
      <c r="I66"/>
    </row>
    <row r="67" spans="1:9" x14ac:dyDescent="0.2">
      <c r="A67" s="1" t="s">
        <v>770</v>
      </c>
      <c r="B67" s="6">
        <v>3112</v>
      </c>
      <c r="C67" s="95">
        <f>'DOE25'!F118</f>
        <v>896930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3695966.83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43592.25</v>
      </c>
      <c r="D75" s="24" t="s">
        <v>288</v>
      </c>
      <c r="E75" s="24" t="s">
        <v>288</v>
      </c>
      <c r="F75" s="24" t="s">
        <v>288</v>
      </c>
      <c r="G75" s="24" t="s">
        <v>288</v>
      </c>
      <c r="H75"/>
      <c r="I75"/>
    </row>
    <row r="76" spans="1:9" x14ac:dyDescent="0.2">
      <c r="A76" s="1" t="s">
        <v>257</v>
      </c>
      <c r="B76" s="6" t="s">
        <v>179</v>
      </c>
      <c r="C76" s="95">
        <f>SUM('DOE25'!F127:F130)</f>
        <v>6834.15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18433.45</v>
      </c>
      <c r="E77" s="95">
        <f>SUM('DOE25'!H131:H135)</f>
        <v>172226.16</v>
      </c>
      <c r="F77" s="95">
        <f>SUM('DOE25'!I131:I135)</f>
        <v>0</v>
      </c>
      <c r="G77" s="95">
        <f>SUM('DOE25'!J131:J135)</f>
        <v>0</v>
      </c>
      <c r="H77"/>
      <c r="I77"/>
    </row>
    <row r="78" spans="1:9" ht="12.75" thickTop="1" thickBot="1" x14ac:dyDescent="0.25">
      <c r="A78" s="29" t="s">
        <v>259</v>
      </c>
      <c r="B78" s="6"/>
      <c r="C78" s="130">
        <f>SUM(C72:C77)</f>
        <v>50426.400000000001</v>
      </c>
      <c r="D78" s="130">
        <f>SUM(D72:D77)</f>
        <v>18433.45</v>
      </c>
      <c r="E78" s="130">
        <f>SUM(E72:E77)</f>
        <v>172226.16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3746393.23</v>
      </c>
      <c r="D81" s="130">
        <f>SUM(D79:D80)+D78+D70</f>
        <v>18433.45</v>
      </c>
      <c r="E81" s="130">
        <f>SUM(E79:E80)+E78+E70</f>
        <v>172226.16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50000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82684.479999999996</v>
      </c>
      <c r="D88" s="331">
        <f>SUM('DOE25'!G153:G162)</f>
        <v>171280.24</v>
      </c>
      <c r="E88" s="331">
        <f>SUM('DOE25'!H153:H162)</f>
        <v>816855.4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82684.479999999996</v>
      </c>
      <c r="D91" s="131">
        <f>SUM(D85:D90)</f>
        <v>171280.24</v>
      </c>
      <c r="E91" s="131">
        <f>SUM(E85:E90)</f>
        <v>866855.4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39354.97</v>
      </c>
      <c r="E96" s="95">
        <f>'DOE25'!H180</f>
        <v>0</v>
      </c>
      <c r="F96" s="95">
        <f>'DOE25'!I180</f>
        <v>0</v>
      </c>
      <c r="G96" s="95">
        <f>'DOE25'!J180</f>
        <v>125000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39354.97</v>
      </c>
      <c r="E103" s="86">
        <f>SUM(E93:E102)</f>
        <v>0</v>
      </c>
      <c r="F103" s="86">
        <f>SUM(F93:F102)</f>
        <v>0</v>
      </c>
      <c r="G103" s="86">
        <f>SUM(G93:G102)</f>
        <v>125000</v>
      </c>
    </row>
    <row r="104" spans="1:7" ht="12.75" thickTop="1" thickBot="1" x14ac:dyDescent="0.25">
      <c r="A104" s="33" t="s">
        <v>761</v>
      </c>
      <c r="C104" s="86">
        <f>C63+C81+C91+C103</f>
        <v>10367251.09</v>
      </c>
      <c r="D104" s="86">
        <f>D63+D81+D91+D103</f>
        <v>236675.25999999998</v>
      </c>
      <c r="E104" s="86">
        <f>E63+E81+E91+E103</f>
        <v>1039081.56</v>
      </c>
      <c r="F104" s="86">
        <f>F63+F81+F91+F103</f>
        <v>0</v>
      </c>
      <c r="G104" s="86">
        <f>G63+G81+G103</f>
        <v>125000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2999229.5100000007</v>
      </c>
      <c r="D109" s="24" t="s">
        <v>288</v>
      </c>
      <c r="E109" s="95">
        <f>('DOE25'!L277)+('DOE25'!L296)+('DOE25'!L315)</f>
        <v>440755.84</v>
      </c>
      <c r="F109" s="24" t="s">
        <v>288</v>
      </c>
      <c r="G109" s="24" t="s">
        <v>288</v>
      </c>
    </row>
    <row r="110" spans="1:7" x14ac:dyDescent="0.2">
      <c r="A110" t="s">
        <v>198</v>
      </c>
      <c r="B110" s="32" t="s">
        <v>199</v>
      </c>
      <c r="C110" s="95">
        <f>('DOE25'!L199)+('DOE25'!L217)+('DOE25'!L235)</f>
        <v>2956156.14</v>
      </c>
      <c r="D110" s="24" t="s">
        <v>288</v>
      </c>
      <c r="E110" s="95">
        <f>('DOE25'!L278)+('DOE25'!L297)+('DOE25'!L316)</f>
        <v>163292.21</v>
      </c>
      <c r="F110" s="24" t="s">
        <v>288</v>
      </c>
      <c r="G110" s="24" t="s">
        <v>288</v>
      </c>
    </row>
    <row r="111" spans="1:7" x14ac:dyDescent="0.2">
      <c r="A111" t="s">
        <v>200</v>
      </c>
      <c r="B111" s="32" t="s">
        <v>165</v>
      </c>
      <c r="C111" s="95">
        <f>('DOE25'!L200)+('DOE25'!L218)+('DOE25'!L236)</f>
        <v>98316.299999999988</v>
      </c>
      <c r="D111" s="24" t="s">
        <v>288</v>
      </c>
      <c r="E111" s="95">
        <f>('DOE25'!L279)+('DOE25'!L298)+('DOE25'!L317)</f>
        <v>0</v>
      </c>
      <c r="F111" s="24" t="s">
        <v>288</v>
      </c>
      <c r="G111" s="24" t="s">
        <v>288</v>
      </c>
    </row>
    <row r="112" spans="1:7" x14ac:dyDescent="0.2">
      <c r="A112" t="s">
        <v>201</v>
      </c>
      <c r="B112" s="32" t="s">
        <v>167</v>
      </c>
      <c r="C112" s="95">
        <f>('DOE25'!L201)+('DOE25'!L219)+('DOE25'!L237)</f>
        <v>89294.040000000008</v>
      </c>
      <c r="D112" s="24" t="s">
        <v>288</v>
      </c>
      <c r="E112" s="95">
        <f>+('DOE25'!L280)+('DOE25'!L299)+('DOE25'!L318)</f>
        <v>45944.009999999995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6142995.9900000002</v>
      </c>
      <c r="D115" s="86">
        <f>SUM(D109:D114)</f>
        <v>0</v>
      </c>
      <c r="E115" s="86">
        <f>SUM(E109:E114)</f>
        <v>649992.06000000006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437252.87</v>
      </c>
      <c r="D118" s="24" t="s">
        <v>288</v>
      </c>
      <c r="E118" s="95">
        <f>+('DOE25'!L282)+('DOE25'!L301)+('DOE25'!L320)</f>
        <v>79970.87</v>
      </c>
      <c r="F118" s="24" t="s">
        <v>288</v>
      </c>
      <c r="G118" s="24" t="s">
        <v>288</v>
      </c>
    </row>
    <row r="119" spans="1:7" x14ac:dyDescent="0.2">
      <c r="A119" t="s">
        <v>208</v>
      </c>
      <c r="B119" s="32" t="s">
        <v>209</v>
      </c>
      <c r="C119" s="95">
        <f>('DOE25'!L204)+('DOE25'!L222)+('DOE25'!L240)</f>
        <v>224872.62</v>
      </c>
      <c r="D119" s="24" t="s">
        <v>288</v>
      </c>
      <c r="E119" s="95">
        <f>+('DOE25'!L283)+('DOE25'!L302)+('DOE25'!L321)</f>
        <v>11522.08</v>
      </c>
      <c r="F119" s="24" t="s">
        <v>288</v>
      </c>
      <c r="G119" s="24" t="s">
        <v>288</v>
      </c>
    </row>
    <row r="120" spans="1:7" x14ac:dyDescent="0.2">
      <c r="A120" t="s">
        <v>210</v>
      </c>
      <c r="B120" s="32" t="s">
        <v>211</v>
      </c>
      <c r="C120" s="95">
        <f>('DOE25'!L205)+('DOE25'!L223)+('DOE25'!L241)</f>
        <v>509544.52</v>
      </c>
      <c r="D120" s="24" t="s">
        <v>288</v>
      </c>
      <c r="E120" s="95">
        <f>+('DOE25'!L284)+('DOE25'!L303)+('DOE25'!L322)</f>
        <v>0</v>
      </c>
      <c r="F120" s="24" t="s">
        <v>288</v>
      </c>
      <c r="G120" s="24" t="s">
        <v>288</v>
      </c>
    </row>
    <row r="121" spans="1:7" x14ac:dyDescent="0.2">
      <c r="A121" t="s">
        <v>212</v>
      </c>
      <c r="B121" s="32" t="s">
        <v>213</v>
      </c>
      <c r="C121" s="95">
        <f>('DOE25'!L206)+('DOE25'!L224)+('DOE25'!L242)</f>
        <v>589042.74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1000</v>
      </c>
      <c r="F122" s="24" t="s">
        <v>288</v>
      </c>
      <c r="G122" s="24" t="s">
        <v>288</v>
      </c>
    </row>
    <row r="123" spans="1:7" x14ac:dyDescent="0.2">
      <c r="A123" t="s">
        <v>216</v>
      </c>
      <c r="B123" s="32" t="s">
        <v>217</v>
      </c>
      <c r="C123" s="95">
        <f>('DOE25'!L208)+('DOE25'!L226)+('DOE25'!L244)</f>
        <v>776930.04</v>
      </c>
      <c r="D123" s="24" t="s">
        <v>288</v>
      </c>
      <c r="E123" s="95">
        <f>+('DOE25'!L287)+('DOE25'!L306)+('DOE25'!L325)</f>
        <v>296596.55000000005</v>
      </c>
      <c r="F123" s="24" t="s">
        <v>288</v>
      </c>
      <c r="G123" s="24" t="s">
        <v>288</v>
      </c>
    </row>
    <row r="124" spans="1:7" x14ac:dyDescent="0.2">
      <c r="A124" t="s">
        <v>218</v>
      </c>
      <c r="B124" s="32" t="s">
        <v>219</v>
      </c>
      <c r="C124" s="95">
        <f>('DOE25'!L209)+('DOE25'!L227)+('DOE25'!L245+'DOE25'!L255)</f>
        <v>593708.98</v>
      </c>
      <c r="D124" s="24" t="s">
        <v>288</v>
      </c>
      <c r="E124" s="95">
        <f>+('DOE25'!L288)+('DOE25'!L307)+('DOE25'!L326)</f>
        <v>0</v>
      </c>
      <c r="F124" s="24" t="s">
        <v>288</v>
      </c>
      <c r="G124" s="24" t="s">
        <v>288</v>
      </c>
    </row>
    <row r="125" spans="1:7" x14ac:dyDescent="0.2">
      <c r="A125" t="s">
        <v>220</v>
      </c>
      <c r="B125" s="32" t="s">
        <v>221</v>
      </c>
      <c r="C125" s="95">
        <f>('DOE25'!L210)+('DOE25'!L228)+('DOE25'!L246)</f>
        <v>115505.88999999998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249075.26</v>
      </c>
      <c r="E127" s="24" t="s">
        <v>288</v>
      </c>
      <c r="F127" s="24" t="s">
        <v>288</v>
      </c>
      <c r="G127" s="24" t="s">
        <v>288</v>
      </c>
    </row>
    <row r="128" spans="1:7" ht="12.75" thickTop="1" thickBot="1" x14ac:dyDescent="0.25">
      <c r="A128" s="33" t="s">
        <v>226</v>
      </c>
      <c r="C128" s="86">
        <f>SUM(C118:C127)</f>
        <v>3246857.66</v>
      </c>
      <c r="D128" s="86">
        <f>SUM(D118:D127)</f>
        <v>249075.26</v>
      </c>
      <c r="E128" s="86">
        <f>SUM(E118:E127)</f>
        <v>389089.50000000006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469538.33</v>
      </c>
      <c r="D130" s="24" t="s">
        <v>288</v>
      </c>
      <c r="E130" s="129">
        <f>'DOE25'!L337</f>
        <v>0</v>
      </c>
      <c r="F130" s="129">
        <f>SUM('DOE25'!L375:'DOE25'!L381)</f>
        <v>0</v>
      </c>
      <c r="G130" s="24" t="s">
        <v>288</v>
      </c>
    </row>
    <row r="131" spans="1:7" x14ac:dyDescent="0.2">
      <c r="A131" t="s">
        <v>229</v>
      </c>
      <c r="B131" s="32">
        <v>5110</v>
      </c>
      <c r="C131" s="95">
        <f>'DOE25'!L261</f>
        <v>270000</v>
      </c>
      <c r="D131" s="24" t="s">
        <v>288</v>
      </c>
      <c r="E131" s="129">
        <f>'DOE25'!L342</f>
        <v>0</v>
      </c>
      <c r="F131" s="24" t="s">
        <v>288</v>
      </c>
      <c r="G131" s="24" t="s">
        <v>288</v>
      </c>
    </row>
    <row r="132" spans="1:7" x14ac:dyDescent="0.2">
      <c r="A132" t="s">
        <v>230</v>
      </c>
      <c r="B132" s="32">
        <v>5120</v>
      </c>
      <c r="C132" s="95">
        <f>'DOE25'!L262</f>
        <v>1440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39354.97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65000</v>
      </c>
      <c r="D138" s="24" t="s">
        <v>288</v>
      </c>
      <c r="E138" s="24" t="s">
        <v>288</v>
      </c>
      <c r="F138" s="24" t="s">
        <v>288</v>
      </c>
      <c r="G138" s="24" t="s">
        <v>288</v>
      </c>
    </row>
    <row r="139" spans="1:7" x14ac:dyDescent="0.2">
      <c r="A139" t="s">
        <v>239</v>
      </c>
      <c r="B139" s="32">
        <v>5252</v>
      </c>
      <c r="C139" s="95">
        <f>'DOE25'!L402</f>
        <v>60000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905333.3</v>
      </c>
      <c r="D144" s="141">
        <f>SUM(D130:D143)</f>
        <v>0</v>
      </c>
      <c r="E144" s="141">
        <f>SUM(E130:E143)</f>
        <v>0</v>
      </c>
      <c r="F144" s="141">
        <f>SUM(F130:F143)</f>
        <v>0</v>
      </c>
      <c r="G144" s="141">
        <f>SUM(G130:G143)</f>
        <v>0</v>
      </c>
    </row>
    <row r="145" spans="1:9" ht="12.75" thickTop="1" thickBot="1" x14ac:dyDescent="0.25">
      <c r="A145" s="33" t="s">
        <v>244</v>
      </c>
      <c r="C145" s="86">
        <f>(C115+C128+C144)</f>
        <v>10295186.950000001</v>
      </c>
      <c r="D145" s="86">
        <f>(D115+D128+D144)</f>
        <v>249075.26</v>
      </c>
      <c r="E145" s="86">
        <f>(E115+E128+E144)</f>
        <v>1039081.56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08/05</v>
      </c>
      <c r="C152" s="152">
        <f>'DOE25'!G492</f>
        <v>0</v>
      </c>
      <c r="D152" s="152">
        <f>'DOE25'!H492</f>
        <v>0</v>
      </c>
      <c r="E152" s="152">
        <f>'DOE25'!I492</f>
        <v>0</v>
      </c>
      <c r="F152" s="152">
        <f>'DOE25'!J492</f>
        <v>0</v>
      </c>
      <c r="G152" s="24" t="s">
        <v>288</v>
      </c>
    </row>
    <row r="153" spans="1:9" x14ac:dyDescent="0.2">
      <c r="A153" s="136" t="s">
        <v>29</v>
      </c>
      <c r="B153" s="152" t="str">
        <f>'DOE25'!F493</f>
        <v>8/20</v>
      </c>
      <c r="C153" s="152">
        <f>'DOE25'!G493</f>
        <v>0</v>
      </c>
      <c r="D153" s="152">
        <f>'DOE25'!H493</f>
        <v>0</v>
      </c>
      <c r="E153" s="152">
        <f>'DOE25'!I493</f>
        <v>0</v>
      </c>
      <c r="F153" s="152">
        <f>'DOE25'!J493</f>
        <v>0</v>
      </c>
      <c r="G153" s="24" t="s">
        <v>288</v>
      </c>
    </row>
    <row r="154" spans="1:9" x14ac:dyDescent="0.2">
      <c r="A154" s="136" t="s">
        <v>30</v>
      </c>
      <c r="B154" s="137">
        <f>'DOE25'!F494</f>
        <v>4097790</v>
      </c>
      <c r="C154" s="137">
        <f>'DOE25'!G494</f>
        <v>0</v>
      </c>
      <c r="D154" s="137">
        <f>'DOE25'!H494</f>
        <v>0</v>
      </c>
      <c r="E154" s="137">
        <f>'DOE25'!I494</f>
        <v>0</v>
      </c>
      <c r="F154" s="137">
        <f>'DOE25'!J494</f>
        <v>0</v>
      </c>
      <c r="G154" s="24" t="s">
        <v>288</v>
      </c>
    </row>
    <row r="155" spans="1:9" x14ac:dyDescent="0.2">
      <c r="A155" s="136" t="s">
        <v>31</v>
      </c>
      <c r="B155" s="137">
        <f>'DOE25'!F495</f>
        <v>4.0999999999999996</v>
      </c>
      <c r="C155" s="137">
        <f>'DOE25'!G495</f>
        <v>0</v>
      </c>
      <c r="D155" s="137">
        <f>'DOE25'!H495</f>
        <v>0</v>
      </c>
      <c r="E155" s="137">
        <f>'DOE25'!I495</f>
        <v>0</v>
      </c>
      <c r="F155" s="137">
        <f>'DOE25'!J495</f>
        <v>0</v>
      </c>
      <c r="G155" s="24" t="s">
        <v>288</v>
      </c>
    </row>
    <row r="156" spans="1:9" x14ac:dyDescent="0.2">
      <c r="A156" s="22" t="s">
        <v>32</v>
      </c>
      <c r="B156" s="137">
        <f>'DOE25'!F496</f>
        <v>270000</v>
      </c>
      <c r="C156" s="137">
        <f>'DOE25'!G496</f>
        <v>0</v>
      </c>
      <c r="D156" s="137">
        <f>'DOE25'!H496</f>
        <v>0</v>
      </c>
      <c r="E156" s="137">
        <f>'DOE25'!I496</f>
        <v>0</v>
      </c>
      <c r="F156" s="137">
        <f>'DOE25'!J496</f>
        <v>0</v>
      </c>
      <c r="G156" s="138">
        <f>SUM(B156:F156)</f>
        <v>270000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270000</v>
      </c>
      <c r="C158" s="137">
        <f>'DOE25'!G498</f>
        <v>0</v>
      </c>
      <c r="D158" s="137">
        <f>'DOE25'!H498</f>
        <v>0</v>
      </c>
      <c r="E158" s="137">
        <f>'DOE25'!I498</f>
        <v>0</v>
      </c>
      <c r="F158" s="137">
        <f>'DOE25'!J498</f>
        <v>0</v>
      </c>
      <c r="G158" s="138">
        <f t="shared" si="0"/>
        <v>270000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3" t="s">
        <v>736</v>
      </c>
      <c r="B1" s="373"/>
      <c r="C1" s="373"/>
      <c r="D1" s="373"/>
    </row>
    <row r="2" spans="1:4" x14ac:dyDescent="0.2">
      <c r="A2" s="187" t="s">
        <v>713</v>
      </c>
      <c r="B2" s="186" t="str">
        <f>'DOE25'!A2</f>
        <v>Milton School District</v>
      </c>
    </row>
    <row r="3" spans="1:4" x14ac:dyDescent="0.2">
      <c r="B3" s="188" t="s">
        <v>1666</v>
      </c>
    </row>
    <row r="4" spans="1:4" x14ac:dyDescent="0.2">
      <c r="B4" t="s">
        <v>61</v>
      </c>
      <c r="C4" s="179">
        <f>IF('DOE25'!F666+'DOE25'!F671=0,0,ROUND('DOE25'!F673,0))</f>
        <v>19180</v>
      </c>
    </row>
    <row r="5" spans="1:4" x14ac:dyDescent="0.2">
      <c r="B5" t="s">
        <v>700</v>
      </c>
      <c r="C5" s="179">
        <f>IF('DOE25'!G666+'DOE25'!G671=0,0,ROUND('DOE25'!G673,0))</f>
        <v>17496</v>
      </c>
    </row>
    <row r="6" spans="1:4" x14ac:dyDescent="0.2">
      <c r="B6" t="s">
        <v>62</v>
      </c>
      <c r="C6" s="179">
        <f>IF('DOE25'!H666+'DOE25'!H671=0,0,ROUND('DOE25'!H673,0))</f>
        <v>22020</v>
      </c>
    </row>
    <row r="7" spans="1:4" x14ac:dyDescent="0.2">
      <c r="B7" t="s">
        <v>701</v>
      </c>
      <c r="C7" s="179">
        <f>IF('DOE25'!I666+'DOE25'!I671=0,0,ROUND('DOE25'!I673,0))</f>
        <v>19478</v>
      </c>
    </row>
    <row r="9" spans="1:4" x14ac:dyDescent="0.2">
      <c r="A9" s="187" t="s">
        <v>94</v>
      </c>
      <c r="B9" s="188" t="s">
        <v>1671</v>
      </c>
      <c r="C9" s="181" t="s">
        <v>720</v>
      </c>
      <c r="D9" s="181" t="s">
        <v>721</v>
      </c>
    </row>
    <row r="10" spans="1:4" x14ac:dyDescent="0.2">
      <c r="A10">
        <v>1100</v>
      </c>
      <c r="B10" t="s">
        <v>702</v>
      </c>
      <c r="C10" s="179">
        <f>ROUND('DOE25'!L198+'DOE25'!L216+'DOE25'!L234+'DOE25'!L277+'DOE25'!L296+'DOE25'!L315,0)</f>
        <v>3439985</v>
      </c>
      <c r="D10" s="182">
        <f>ROUND((C10/$C$28)*100,1)</f>
        <v>32.200000000000003</v>
      </c>
    </row>
    <row r="11" spans="1:4" x14ac:dyDescent="0.2">
      <c r="A11">
        <v>1200</v>
      </c>
      <c r="B11" t="s">
        <v>703</v>
      </c>
      <c r="C11" s="179">
        <f>ROUND('DOE25'!L199+'DOE25'!L217+'DOE25'!L235+'DOE25'!L278+'DOE25'!L297+'DOE25'!L316,0)</f>
        <v>3119448</v>
      </c>
      <c r="D11" s="182">
        <f>ROUND((C11/$C$28)*100,1)</f>
        <v>29.2</v>
      </c>
    </row>
    <row r="12" spans="1:4" x14ac:dyDescent="0.2">
      <c r="A12">
        <v>1300</v>
      </c>
      <c r="B12" t="s">
        <v>704</v>
      </c>
      <c r="C12" s="179">
        <f>ROUND('DOE25'!L200+'DOE25'!L218+'DOE25'!L236+'DOE25'!L279+'DOE25'!L298+'DOE25'!L317,0)</f>
        <v>98316</v>
      </c>
      <c r="D12" s="182">
        <f>ROUND((C12/$C$28)*100,1)</f>
        <v>0.9</v>
      </c>
    </row>
    <row r="13" spans="1:4" x14ac:dyDescent="0.2">
      <c r="A13">
        <v>1400</v>
      </c>
      <c r="B13" t="s">
        <v>705</v>
      </c>
      <c r="C13" s="179">
        <f>ROUND('DOE25'!L201+'DOE25'!L219+'DOE25'!L237+'DOE25'!L280+'DOE25'!L299+'DOE25'!L318,0)</f>
        <v>135238</v>
      </c>
      <c r="D13" s="182">
        <f>ROUND((C13/$C$28)*100,1)</f>
        <v>1.3</v>
      </c>
    </row>
    <row r="14" spans="1:4" x14ac:dyDescent="0.2">
      <c r="D14" s="182"/>
    </row>
    <row r="15" spans="1:4" x14ac:dyDescent="0.2">
      <c r="A15">
        <v>2100</v>
      </c>
      <c r="B15" t="s">
        <v>706</v>
      </c>
      <c r="C15" s="179">
        <f>ROUND('DOE25'!L203+'DOE25'!L221+'DOE25'!L239+'DOE25'!L282+'DOE25'!L301+'DOE25'!L320,0)</f>
        <v>517224</v>
      </c>
      <c r="D15" s="182">
        <f t="shared" ref="D15:D27" si="0">ROUND((C15/$C$28)*100,1)</f>
        <v>4.8</v>
      </c>
    </row>
    <row r="16" spans="1:4" x14ac:dyDescent="0.2">
      <c r="A16">
        <v>2200</v>
      </c>
      <c r="B16" t="s">
        <v>707</v>
      </c>
      <c r="C16" s="179">
        <f>ROUND('DOE25'!L204+'DOE25'!L222+'DOE25'!L240+'DOE25'!L283+'DOE25'!L302+'DOE25'!L321,0)</f>
        <v>236395</v>
      </c>
      <c r="D16" s="182">
        <f t="shared" si="0"/>
        <v>2.2000000000000002</v>
      </c>
    </row>
    <row r="17" spans="1:4" x14ac:dyDescent="0.2">
      <c r="A17" s="183" t="s">
        <v>723</v>
      </c>
      <c r="B17" t="s">
        <v>738</v>
      </c>
      <c r="C17" s="179">
        <f>ROUND('DOE25'!L205+'DOE25'!L210+'DOE25'!L223+'DOE25'!L228+'DOE25'!L241+'DOE25'!L246+'DOE25'!L284+'DOE25'!L289+'DOE25'!L303+'DOE25'!L308+'DOE25'!L322+'DOE25'!L327,0)</f>
        <v>625050</v>
      </c>
      <c r="D17" s="182">
        <f t="shared" si="0"/>
        <v>5.9</v>
      </c>
    </row>
    <row r="18" spans="1:4" x14ac:dyDescent="0.2">
      <c r="A18">
        <v>2400</v>
      </c>
      <c r="B18" t="s">
        <v>711</v>
      </c>
      <c r="C18" s="179">
        <f>ROUND('DOE25'!L206+'DOE25'!L224+'DOE25'!L242+'DOE25'!L285+'DOE25'!L304+'DOE25'!L323,0)</f>
        <v>589043</v>
      </c>
      <c r="D18" s="182">
        <f t="shared" si="0"/>
        <v>5.5</v>
      </c>
    </row>
    <row r="19" spans="1:4" x14ac:dyDescent="0.2">
      <c r="A19">
        <v>2500</v>
      </c>
      <c r="B19" t="s">
        <v>708</v>
      </c>
      <c r="C19" s="179">
        <f>ROUND('DOE25'!L207+'DOE25'!L225+'DOE25'!L243+'DOE25'!L286+'DOE25'!L305+'DOE25'!L324,0)</f>
        <v>1000</v>
      </c>
      <c r="D19" s="182">
        <f t="shared" si="0"/>
        <v>0</v>
      </c>
    </row>
    <row r="20" spans="1:4" x14ac:dyDescent="0.2">
      <c r="A20">
        <v>2600</v>
      </c>
      <c r="B20" t="s">
        <v>709</v>
      </c>
      <c r="C20" s="179">
        <f>ROUND('DOE25'!L208+'DOE25'!L226+'DOE25'!L244+'DOE25'!L287+'DOE25'!L306+'DOE25'!L325,0)</f>
        <v>1073527</v>
      </c>
      <c r="D20" s="182">
        <f t="shared" si="0"/>
        <v>10.1</v>
      </c>
    </row>
    <row r="21" spans="1:4" x14ac:dyDescent="0.2">
      <c r="A21">
        <v>2700</v>
      </c>
      <c r="B21" t="s">
        <v>710</v>
      </c>
      <c r="C21" s="179">
        <f>ROUND('DOE25'!L209+'DOE25'!L227+'DOE25'!L245+'DOE25'!L288+'DOE25'!L307+'DOE25'!L326,0)</f>
        <v>593709</v>
      </c>
      <c r="D21" s="182">
        <f t="shared" si="0"/>
        <v>5.6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1440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241468.4</v>
      </c>
      <c r="D27" s="182">
        <f t="shared" si="0"/>
        <v>2.2999999999999998</v>
      </c>
    </row>
    <row r="28" spans="1:4" x14ac:dyDescent="0.2">
      <c r="B28" s="187" t="s">
        <v>719</v>
      </c>
      <c r="C28" s="180">
        <f>SUM(C10:C27)</f>
        <v>10671843.4</v>
      </c>
      <c r="D28" s="184">
        <f>ROUND(SUM(D10:D27),0)</f>
        <v>100</v>
      </c>
    </row>
    <row r="29" spans="1:4" x14ac:dyDescent="0.2">
      <c r="A29">
        <v>4000</v>
      </c>
      <c r="B29" t="s">
        <v>724</v>
      </c>
      <c r="C29" s="179">
        <f>ROUND('DOE25'!L256+'DOE25'!L337+'DOE25'!L375+'DOE25'!L376+'DOE25'!L377+'DOE25'!L378+'DOE25'!L379+'DOE25'!L380+'DOE25'!L381,0)</f>
        <v>469538</v>
      </c>
    </row>
    <row r="30" spans="1:4" x14ac:dyDescent="0.2">
      <c r="B30" s="187" t="s">
        <v>725</v>
      </c>
      <c r="C30" s="180">
        <f>SUM(C28:C29)</f>
        <v>11141381.4</v>
      </c>
    </row>
    <row r="31" spans="1:4" x14ac:dyDescent="0.2">
      <c r="B31" s="33"/>
      <c r="C31" s="180"/>
    </row>
    <row r="32" spans="1:4" x14ac:dyDescent="0.2">
      <c r="A32">
        <v>5100</v>
      </c>
      <c r="B32" s="33" t="s">
        <v>726</v>
      </c>
      <c r="C32" s="180">
        <f>ROUND('DOE25'!L261+'DOE25'!L342,0)</f>
        <v>270000</v>
      </c>
    </row>
    <row r="34" spans="1:4" x14ac:dyDescent="0.2">
      <c r="A34" s="187" t="s">
        <v>94</v>
      </c>
      <c r="B34" s="188" t="s">
        <v>1667</v>
      </c>
      <c r="C34" s="181" t="s">
        <v>720</v>
      </c>
      <c r="D34" s="181" t="s">
        <v>721</v>
      </c>
    </row>
    <row r="35" spans="1:4" x14ac:dyDescent="0.2">
      <c r="A35">
        <v>1100</v>
      </c>
      <c r="B35" s="185" t="s">
        <v>727</v>
      </c>
      <c r="C35" s="179">
        <f>ROUND('DOE25'!F60+'DOE25'!G60+'DOE25'!H60+'DOE25'!I60+'DOE25'!J60,0)</f>
        <v>6506676</v>
      </c>
      <c r="D35" s="182">
        <f t="shared" ref="D35:D40" si="1">ROUND((C35/$C$41)*100,1)</f>
        <v>56.1</v>
      </c>
    </row>
    <row r="36" spans="1:4" x14ac:dyDescent="0.2">
      <c r="B36" s="185" t="s">
        <v>739</v>
      </c>
      <c r="C36" s="179">
        <f>SUM('DOE25'!F112:J112)-SUM('DOE25'!G97:G110)+('DOE25'!F175+'DOE25'!F176+'DOE25'!I175+'DOE25'!I176)-C35</f>
        <v>31497.379999999888</v>
      </c>
      <c r="D36" s="182">
        <f t="shared" si="1"/>
        <v>0.3</v>
      </c>
    </row>
    <row r="37" spans="1:4" x14ac:dyDescent="0.2">
      <c r="A37" s="183" t="s">
        <v>835</v>
      </c>
      <c r="B37" s="185" t="s">
        <v>728</v>
      </c>
      <c r="C37" s="179">
        <f>ROUND('DOE25'!F117+'DOE25'!F118,0)</f>
        <v>3695967</v>
      </c>
      <c r="D37" s="182">
        <f t="shared" si="1"/>
        <v>31.9</v>
      </c>
    </row>
    <row r="38" spans="1:4" x14ac:dyDescent="0.2">
      <c r="A38" s="183" t="s">
        <v>734</v>
      </c>
      <c r="B38" s="185" t="s">
        <v>729</v>
      </c>
      <c r="C38" s="179">
        <f>ROUND(SUM('DOE25'!F140:J140)-SUM('DOE25'!F117:F119),0)</f>
        <v>241086</v>
      </c>
      <c r="D38" s="182">
        <f t="shared" si="1"/>
        <v>2.1</v>
      </c>
    </row>
    <row r="39" spans="1:4" x14ac:dyDescent="0.2">
      <c r="A39">
        <v>4000</v>
      </c>
      <c r="B39" s="185" t="s">
        <v>730</v>
      </c>
      <c r="C39" s="179">
        <f>ROUND('DOE25'!F170+'DOE25'!G170+'DOE25'!H170+'DOE25'!I170,0)</f>
        <v>1120820</v>
      </c>
      <c r="D39" s="182">
        <f t="shared" si="1"/>
        <v>9.6999999999999993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11596046.379999999</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ColWidth="8.6640625" defaultRowHeight="11.25" x14ac:dyDescent="0.2"/>
  <cols>
    <col min="1" max="1" width="10.16406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Milton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2021-10-28T15:22:37Z</cp:lastPrinted>
  <dcterms:created xsi:type="dcterms:W3CDTF">1997-12-04T19:04:30Z</dcterms:created>
  <dcterms:modified xsi:type="dcterms:W3CDTF">2021-12-14T19:03:08Z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