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105" yWindow="-105" windowWidth="23250" windowHeight="1257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69" i="1" l="1"/>
  <c r="F50" i="1" l="1"/>
  <c r="G576" i="1" l="1"/>
  <c r="H216" i="1"/>
  <c r="F23" i="1"/>
  <c r="J473" i="1" l="1"/>
  <c r="I473" i="1"/>
  <c r="H473" i="1"/>
  <c r="G473" i="1"/>
  <c r="G469" i="1"/>
  <c r="H469" i="1"/>
  <c r="I469" i="1"/>
  <c r="J469" i="1"/>
  <c r="D25" i="14"/>
  <c r="E26" i="17"/>
  <c r="C21" i="12" l="1"/>
  <c r="C20" i="12"/>
  <c r="C19" i="12"/>
  <c r="C12" i="12" l="1"/>
  <c r="C11" i="12"/>
  <c r="C10" i="12"/>
  <c r="H592" i="1" l="1"/>
  <c r="F580" i="1" l="1"/>
  <c r="H528" i="1" l="1"/>
  <c r="H527" i="1"/>
  <c r="H523" i="1"/>
  <c r="H522" i="1"/>
  <c r="F368" i="1" l="1"/>
  <c r="F369" i="1"/>
  <c r="H221" i="1" l="1"/>
  <c r="H203" i="1"/>
  <c r="H217" i="1"/>
  <c r="H199" i="1"/>
  <c r="H208" i="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H663" i="1" s="1"/>
  <c r="L327" i="1"/>
  <c r="L334" i="1"/>
  <c r="L335" i="1"/>
  <c r="L336" i="1"/>
  <c r="L261" i="1"/>
  <c r="C131" i="2" s="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56" i="2" s="1"/>
  <c r="F79" i="1"/>
  <c r="C57" i="2" s="1"/>
  <c r="F94" i="1"/>
  <c r="C58" i="2" s="1"/>
  <c r="F111" i="1"/>
  <c r="G111" i="1"/>
  <c r="H79" i="1"/>
  <c r="H94" i="1"/>
  <c r="E58" i="2" s="1"/>
  <c r="H111" i="1"/>
  <c r="I111" i="1"/>
  <c r="I112" i="1" s="1"/>
  <c r="J111" i="1"/>
  <c r="J112" i="1" s="1"/>
  <c r="F121" i="1"/>
  <c r="F136" i="1"/>
  <c r="G121" i="1"/>
  <c r="G136" i="1"/>
  <c r="H121" i="1"/>
  <c r="H136" i="1"/>
  <c r="I121" i="1"/>
  <c r="I136" i="1"/>
  <c r="J121" i="1"/>
  <c r="J136" i="1"/>
  <c r="F147" i="1"/>
  <c r="F170" i="1" s="1"/>
  <c r="G147" i="1"/>
  <c r="H147" i="1"/>
  <c r="H170" i="1" s="1"/>
  <c r="I147" i="1"/>
  <c r="I170" i="1"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4" i="1"/>
  <c r="H636" i="1"/>
  <c r="H637" i="1"/>
  <c r="H638" i="1"/>
  <c r="H639" i="1"/>
  <c r="G644" i="1"/>
  <c r="G645" i="1"/>
  <c r="G652" i="1"/>
  <c r="J652" i="1" s="1"/>
  <c r="G653" i="1"/>
  <c r="H653" i="1"/>
  <c r="G654" i="1"/>
  <c r="H654" i="1"/>
  <c r="G655" i="1"/>
  <c r="H655" i="1"/>
  <c r="H656" i="1"/>
  <c r="J656" i="1" s="1"/>
  <c r="G62" i="2"/>
  <c r="E112" i="2" l="1"/>
  <c r="G477" i="1"/>
  <c r="J140" i="1"/>
  <c r="D18" i="13"/>
  <c r="C18" i="13" s="1"/>
  <c r="E111" i="2"/>
  <c r="C112" i="2"/>
  <c r="H140" i="1"/>
  <c r="E125" i="2"/>
  <c r="E121" i="2"/>
  <c r="C119" i="2"/>
  <c r="C125" i="2"/>
  <c r="C13" i="10"/>
  <c r="C32" i="10"/>
  <c r="D15" i="13"/>
  <c r="C15" i="13" s="1"/>
  <c r="C110" i="2"/>
  <c r="C120" i="2"/>
  <c r="C121" i="2"/>
  <c r="C12" i="10"/>
  <c r="I409" i="1"/>
  <c r="E120" i="2"/>
  <c r="A40" i="12"/>
  <c r="G409" i="1"/>
  <c r="H646" i="1" s="1"/>
  <c r="F409" i="1"/>
  <c r="H644" i="1" s="1"/>
  <c r="G553" i="1"/>
  <c r="D50" i="2"/>
  <c r="E110" i="2"/>
  <c r="G662" i="1"/>
  <c r="G646" i="1"/>
  <c r="J572" i="1"/>
  <c r="E124" i="2"/>
  <c r="E123" i="2"/>
  <c r="J258" i="1"/>
  <c r="E119" i="2"/>
  <c r="D6" i="13"/>
  <c r="C6" i="13" s="1"/>
  <c r="E13" i="13"/>
  <c r="C13" i="13" s="1"/>
  <c r="K339" i="1"/>
  <c r="K353" i="1" s="1"/>
  <c r="G339" i="1"/>
  <c r="G353" i="1" s="1"/>
  <c r="H409" i="1"/>
  <c r="H645" i="1" s="1"/>
  <c r="J645" i="1" s="1"/>
  <c r="H477" i="1"/>
  <c r="H625" i="1" s="1"/>
  <c r="J625" i="1" s="1"/>
  <c r="F85" i="2"/>
  <c r="F91" i="2" s="1"/>
  <c r="E131" i="2"/>
  <c r="E144" i="2"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E50" i="2"/>
  <c r="C50" i="2"/>
  <c r="F31" i="2"/>
  <c r="C31" i="2"/>
  <c r="E18"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G24" i="14" l="1"/>
  <c r="H24" i="14" s="1"/>
  <c r="I24" i="14" s="1"/>
  <c r="F661" i="1"/>
  <c r="F665" i="1" s="1"/>
  <c r="F668" i="1" s="1"/>
  <c r="H649" i="1"/>
  <c r="J649" i="1" s="1"/>
  <c r="E115" i="2"/>
  <c r="L572" i="1"/>
  <c r="E128" i="2"/>
  <c r="J646" i="1"/>
  <c r="D51" i="2"/>
  <c r="C81" i="2"/>
  <c r="F194" i="1"/>
  <c r="G628" i="1" s="1"/>
  <c r="J628" i="1" s="1"/>
  <c r="J272" i="1"/>
  <c r="H661" i="1"/>
  <c r="H665" i="1" s="1"/>
  <c r="H668" i="1" s="1"/>
  <c r="H194" i="1"/>
  <c r="G630" i="1" s="1"/>
  <c r="J630" i="1" s="1"/>
  <c r="C141" i="2"/>
  <c r="C144" i="2" s="1"/>
  <c r="E5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G633" i="1" l="1"/>
  <c r="F473" i="1"/>
  <c r="C104" i="2"/>
  <c r="E145"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F475" i="1" l="1"/>
  <c r="F477" i="1" s="1"/>
  <c r="H623" i="1" s="1"/>
  <c r="J623" i="1" s="1"/>
  <c r="H633" i="1"/>
  <c r="J633" i="1"/>
  <c r="H657" i="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<sst xmlns="http://schemas.openxmlformats.org/spreadsheetml/2006/main" count="5573" uniqueCount="1673">
  <si>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</si>
  <si>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</si>
  <si>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</si>
  <si>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</si>
  <si>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</si>
  <si>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</si>
  <si>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</si>
  <si>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</si>
  <si>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</si>
  <si>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</si>
  <si>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</si>
  <si>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</si>
  <si>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</si>
  <si>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</si>
  <si>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</si>
  <si>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</si>
  <si>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</si>
  <si>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</si>
  <si>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</si>
  <si>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</si>
  <si>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</si>
  <si>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</si>
  <si>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</si>
  <si>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</si>
  <si>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</si>
  <si>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</si>
  <si>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</si>
  <si>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</si>
  <si>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</si>
  <si>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</si>
  <si>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</si>
  <si>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</si>
  <si>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</si>
  <si>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</si>
  <si>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</si>
  <si>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</si>
  <si>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</si>
  <si>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</si>
  <si>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</si>
  <si>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</si>
  <si>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</si>
  <si>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</si>
  <si>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</si>
  <si>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</si>
  <si>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</si>
  <si>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</si>
  <si>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</si>
  <si>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</si>
  <si>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</si>
  <si>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</si>
  <si>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</si>
  <si>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</si>
  <si>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</si>
  <si>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</si>
  <si>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</si>
  <si>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</si>
  <si>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</si>
  <si>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</si>
  <si>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</si>
  <si>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</si>
  <si>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</si>
  <si>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</si>
  <si>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</si>
  <si>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</si>
  <si>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</si>
  <si>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</si>
  <si>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</si>
  <si>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</si>
  <si>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</si>
  <si>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</si>
  <si>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</si>
  <si>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</si>
  <si>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</si>
  <si>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</si>
  <si>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</si>
  <si>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</si>
  <si>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</si>
  <si>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</si>
  <si>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</si>
  <si>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</si>
  <si>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</si>
  <si>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</si>
  <si>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</si>
  <si>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</si>
  <si>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</si>
  <si>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</si>
  <si>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</si>
  <si>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</si>
  <si>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</si>
  <si>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</si>
  <si>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</si>
  <si>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</si>
  <si>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</si>
  <si>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</si>
  <si>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</si>
  <si>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</si>
  <si>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</si>
  <si>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</si>
  <si>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</si>
  <si>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</si>
  <si>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</si>
  <si>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</si>
  <si>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</si>
  <si>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</si>
  <si>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</si>
  <si>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</si>
  <si>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</si>
  <si>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</si>
  <si>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</si>
  <si>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</si>
  <si>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</si>
  <si>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</si>
  <si>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</si>
  <si>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</si>
  <si>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</si>
  <si>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</si>
  <si>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</si>
  <si>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</si>
  <si>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</si>
  <si>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</si>
  <si>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</si>
  <si>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</si>
  <si>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</si>
  <si>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</si>
  <si>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</si>
  <si>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</si>
  <si>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</si>
  <si>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</si>
  <si>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</si>
  <si>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</si>
  <si>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</si>
  <si>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</si>
  <si>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</si>
  <si>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</si>
  <si>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</si>
  <si>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</si>
  <si>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</si>
  <si>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</si>
  <si>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</si>
  <si>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</si>
  <si>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</si>
  <si>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</si>
  <si>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</si>
  <si>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</si>
  <si>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</si>
  <si>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</si>
  <si>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</si>
  <si>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</si>
  <si>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</si>
  <si>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</si>
  <si>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</si>
  <si>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</si>
  <si>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</si>
  <si>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</si>
  <si>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</si>
  <si>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</si>
  <si>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</si>
  <si>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</si>
  <si>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</si>
  <si>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</si>
  <si>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</si>
  <si>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</si>
  <si>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</si>
  <si>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</si>
  <si>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</si>
  <si>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</si>
  <si>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</si>
  <si>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</si>
  <si>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</si>
  <si>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</si>
  <si>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</si>
  <si>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</si>
  <si>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</si>
  <si>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</si>
  <si>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</si>
  <si>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</si>
  <si>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</si>
  <si>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</si>
  <si>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</si>
  <si>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</si>
  <si>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</si>
  <si>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</si>
  <si>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</si>
  <si>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</si>
  <si>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</si>
  <si>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</si>
  <si>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</si>
  <si>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</si>
  <si>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</si>
  <si>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</si>
  <si>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</si>
  <si>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</si>
  <si>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</si>
  <si>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</si>
  <si>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</si>
  <si>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</si>
  <si>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</si>
  <si>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</si>
  <si>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</si>
  <si>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</si>
  <si>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</si>
  <si>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</si>
  <si>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</si>
  <si>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</si>
  <si>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</si>
  <si>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</si>
  <si>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</si>
  <si>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</si>
  <si>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</si>
  <si>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</si>
  <si>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</si>
  <si>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</si>
  <si>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</si>
  <si>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</si>
  <si>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</si>
  <si>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</si>
  <si>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</si>
  <si>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</si>
  <si>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</si>
  <si>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</si>
  <si>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</si>
  <si>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</si>
  <si>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</si>
  <si>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</si>
  <si>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</si>
  <si>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</si>
  <si>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</si>
  <si>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</si>
  <si>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</si>
  <si>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</si>
  <si>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</si>
  <si>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</si>
  <si>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</si>
  <si>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</si>
  <si>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</si>
  <si>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</si>
  <si>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</si>
  <si>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</si>
  <si>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</si>
  <si>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</si>
  <si>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</si>
  <si>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</si>
  <si>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</si>
  <si>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</si>
  <si>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</si>
  <si>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</si>
  <si>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</si>
  <si>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</si>
  <si>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</si>
  <si>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</si>
  <si>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</si>
  <si>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</si>
  <si>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</si>
  <si>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</si>
  <si>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</si>
  <si>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</si>
  <si>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</si>
  <si>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</si>
  <si>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</si>
  <si>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</si>
  <si>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</si>
  <si>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</si>
  <si>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</si>
  <si>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</si>
  <si>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</si>
  <si>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</si>
  <si>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</si>
  <si>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</si>
  <si>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</si>
  <si>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</si>
  <si>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</si>
  <si>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</si>
  <si>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</si>
  <si>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</si>
  <si>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</si>
  <si>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</si>
  <si>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</si>
  <si>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</si>
  <si>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</si>
  <si>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</si>
  <si>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</si>
  <si>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</si>
  <si>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</si>
  <si>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</si>
  <si>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</si>
  <si>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</si>
  <si>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</si>
  <si>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</si>
  <si>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</si>
  <si>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</si>
  <si>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</si>
  <si>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</si>
  <si>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</si>
  <si>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</si>
  <si>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</si>
  <si>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</si>
  <si>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</si>
  <si>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</si>
  <si>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</si>
  <si>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</si>
  <si>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</si>
  <si>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</si>
  <si>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</si>
  <si>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</si>
  <si>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</si>
  <si>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</si>
  <si>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</si>
  <si>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</si>
  <si>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</si>
  <si>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</si>
  <si>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</si>
  <si>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</si>
  <si>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</si>
  <si>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</si>
  <si>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</si>
  <si>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</si>
  <si>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</si>
  <si>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</si>
  <si>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</si>
  <si>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</si>
  <si>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</si>
  <si>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</si>
  <si>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</si>
  <si>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</si>
  <si>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</si>
  <si>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</si>
  <si>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</si>
  <si>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</si>
  <si>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</si>
  <si>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</si>
  <si>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</si>
  <si>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</si>
  <si>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</si>
  <si>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</si>
  <si>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</si>
  <si>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</si>
  <si>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</si>
  <si>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</si>
  <si>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</si>
  <si>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</si>
  <si>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</si>
  <si>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</si>
  <si>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</si>
  <si>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</si>
  <si>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</si>
  <si>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</si>
  <si>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</si>
  <si>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</si>
  <si>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</si>
  <si>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</si>
  <si>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</si>
  <si>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</si>
  <si>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</si>
  <si>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</si>
  <si>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</si>
  <si>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</si>
  <si>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</si>
  <si>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</si>
  <si>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</si>
  <si>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</si>
  <si>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</si>
  <si>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</si>
  <si>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</si>
  <si>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</si>
  <si>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</si>
  <si>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</si>
  <si>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</si>
  <si>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</si>
  <si>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</si>
  <si>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</si>
  <si>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</si>
  <si>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</si>
  <si>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</si>
  <si>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</si>
  <si>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</si>
  <si>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</si>
  <si>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</si>
  <si>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</si>
  <si>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</si>
  <si>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</si>
  <si>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</si>
  <si>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</si>
  <si>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</si>
  <si>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</si>
  <si>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</si>
  <si>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</si>
  <si>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</si>
  <si>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</si>
  <si>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</si>
  <si>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</si>
  <si>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</si>
  <si>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</si>
  <si>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</si>
  <si>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</si>
  <si>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</si>
  <si>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</si>
  <si>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</si>
  <si>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</si>
  <si>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</si>
  <si>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</si>
  <si>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</si>
  <si>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</si>
  <si>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</si>
  <si>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</si>
  <si>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</si>
  <si>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</si>
  <si>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</si>
  <si>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</si>
  <si>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</si>
  <si>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</si>
  <si>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</si>
  <si>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</si>
  <si>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</si>
  <si>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</si>
  <si>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</si>
  <si>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</si>
  <si>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</si>
  <si>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</si>
  <si>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</si>
  <si>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</si>
  <si>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</si>
  <si>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</si>
  <si>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</si>
  <si>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</si>
  <si>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</si>
  <si>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</si>
  <si>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</si>
  <si>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</si>
  <si>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</si>
  <si>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</si>
  <si>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</si>
  <si>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</si>
  <si>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</si>
  <si>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</si>
  <si>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</si>
  <si>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</si>
  <si>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</si>
  <si>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</si>
  <si>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</si>
  <si>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</si>
  <si>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</si>
  <si>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</si>
  <si>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</si>
  <si>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</si>
  <si>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</si>
  <si>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</si>
  <si>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</si>
  <si>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</si>
  <si>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</si>
  <si>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</si>
  <si>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</si>
  <si>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</si>
  <si>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</si>
  <si>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</si>
  <si>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</si>
  <si>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</si>
  <si>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</si>
  <si>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</si>
  <si>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</si>
  <si>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</si>
  <si>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</si>
  <si>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</si>
  <si>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</si>
  <si>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</si>
  <si>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</si>
  <si>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</si>
  <si>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</si>
  <si>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</si>
  <si>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</si>
  <si>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</si>
  <si>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</si>
  <si>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</si>
  <si>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</si>
  <si>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</si>
  <si>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</si>
  <si>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</si>
  <si>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</si>
  <si>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</si>
  <si>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</si>
  <si>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</si>
  <si>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</si>
  <si>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</si>
  <si>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</si>
  <si>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</si>
  <si>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</si>
  <si>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</si>
  <si>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</si>
  <si>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</si>
  <si>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</si>
  <si>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</si>
  <si>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</si>
  <si>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</si>
  <si>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</si>
  <si>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</si>
  <si>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</si>
  <si>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</si>
  <si>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</si>
  <si>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</si>
  <si>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</si>
  <si>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</si>
  <si>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</si>
  <si>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</si>
  <si>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</si>
  <si>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</si>
  <si>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</si>
  <si>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</si>
  <si>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</si>
  <si>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</si>
  <si>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</si>
  <si>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</si>
  <si>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</si>
  <si>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</si>
  <si>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</si>
  <si>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</si>
  <si>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</si>
  <si>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</si>
  <si>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</si>
  <si>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</si>
  <si>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</si>
  <si>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</si>
  <si>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</si>
  <si>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</si>
  <si>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</si>
  <si>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</si>
  <si>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</si>
  <si>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</si>
  <si>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</si>
  <si>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</si>
  <si>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</si>
  <si>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</si>
  <si>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</si>
  <si>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</si>
  <si>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</si>
  <si>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</si>
  <si>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</si>
  <si>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</si>
  <si>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</si>
  <si>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</si>
  <si>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</si>
  <si>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</si>
  <si>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</si>
  <si>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</si>
  <si>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</si>
  <si>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</si>
  <si>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</si>
  <si>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</si>
  <si>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</si>
  <si>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</si>
  <si>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</si>
  <si>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</si>
  <si>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</si>
  <si>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</si>
  <si>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</si>
  <si>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</si>
  <si>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</si>
  <si>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</si>
  <si>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</si>
  <si>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</si>
  <si>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</si>
  <si>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</si>
  <si>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</si>
  <si>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</si>
  <si>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</si>
  <si>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</si>
  <si>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</si>
  <si>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</si>
  <si>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</si>
  <si>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</si>
  <si>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</si>
  <si>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</si>
  <si>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</si>
  <si>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</si>
  <si>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</si>
  <si>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</si>
  <si>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</si>
  <si>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</si>
  <si>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</si>
  <si>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</si>
  <si>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</si>
  <si>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</si>
  <si>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</si>
  <si>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</si>
  <si>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</si>
  <si>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</si>
  <si>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</si>
  <si>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</si>
  <si>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</si>
  <si>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</si>
  <si>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</si>
  <si>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</si>
  <si>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</si>
  <si>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</si>
  <si>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</si>
  <si>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</si>
  <si>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</si>
  <si>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</si>
  <si>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</si>
  <si>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</si>
  <si>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</si>
  <si>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</si>
  <si>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</si>
  <si>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</si>
  <si>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</si>
  <si>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</si>
  <si>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</si>
  <si>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</si>
  <si>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</si>
  <si>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</si>
  <si>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</si>
  <si>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</si>
  <si>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</si>
  <si>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</si>
  <si>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</si>
  <si>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</si>
  <si>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</si>
  <si>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</si>
  <si>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</si>
  <si>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</si>
  <si>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</si>
  <si>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</si>
  <si>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</si>
  <si>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</si>
  <si>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</si>
  <si>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</si>
  <si>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</si>
  <si>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</si>
  <si>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</si>
  <si>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</si>
  <si>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</si>
  <si>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</si>
  <si>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</si>
  <si>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</si>
  <si>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</si>
  <si>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</si>
  <si>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</si>
  <si>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</si>
  <si>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</si>
  <si>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</si>
  <si>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</si>
  <si>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</si>
  <si>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</si>
  <si>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</si>
  <si>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</si>
  <si>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</si>
  <si>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</si>
  <si>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</si>
  <si>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</si>
  <si>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</si>
  <si>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</si>
  <si>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</si>
  <si>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</si>
  <si>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</si>
  <si>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</si>
  <si>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</si>
  <si>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</si>
  <si>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</si>
  <si>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</si>
  <si>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</si>
  <si>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</si>
  <si>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</si>
  <si>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</si>
  <si>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</si>
  <si>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</si>
  <si>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</si>
  <si>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</si>
  <si>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</si>
  <si>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</si>
  <si>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</si>
  <si>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</si>
  <si>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</si>
  <si>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</si>
  <si>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</si>
  <si>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</si>
  <si>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</si>
  <si>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</si>
  <si>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</si>
  <si>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</si>
  <si>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</si>
  <si>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</si>
  <si>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</si>
  <si>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</si>
  <si>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</si>
  <si>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</si>
  <si>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</si>
  <si>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</si>
  <si>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</si>
  <si>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</si>
  <si>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</si>
  <si>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</si>
  <si>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</si>
  <si>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</si>
  <si>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</si>
  <si>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</si>
  <si>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</si>
  <si>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</si>
  <si>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</si>
  <si>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</si>
  <si>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</si>
  <si>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</si>
  <si>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</si>
  <si>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</si>
  <si>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</si>
  <si>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</si>
  <si>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</si>
  <si>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</si>
  <si>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</si>
  <si>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</si>
  <si>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</si>
  <si>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</si>
  <si>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</si>
  <si>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</si>
  <si>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</si>
  <si>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</si>
  <si>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</si>
  <si>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</si>
  <si>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</si>
  <si>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</si>
  <si>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</si>
  <si>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</si>
  <si>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</si>
  <si>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</si>
  <si>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</si>
  <si>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</si>
  <si>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</si>
  <si>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</si>
  <si>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</si>
  <si>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</si>
  <si>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</si>
  <si>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</si>
  <si>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</si>
  <si>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</si>
  <si>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</si>
  <si>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</si>
  <si>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</si>
  <si>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</si>
  <si>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</si>
  <si>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</si>
  <si>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</si>
  <si>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</si>
  <si>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</si>
  <si>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</si>
  <si>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</si>
  <si>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</si>
  <si>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</si>
  <si>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</si>
  <si>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</si>
  <si>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</si>
  <si>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</si>
  <si>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</si>
  <si>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</si>
  <si>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</si>
  <si>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</si>
  <si>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</si>
  <si>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</si>
  <si>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</si>
  <si>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</si>
  <si>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</si>
  <si>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</si>
  <si>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</si>
  <si>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</si>
  <si>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</si>
  <si>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</si>
  <si>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</si>
  <si>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</si>
  <si>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</si>
  <si>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</si>
  <si>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</si>
  <si>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</si>
  <si>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</si>
  <si>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</si>
  <si>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</si>
  <si>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</si>
  <si>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</si>
  <si>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</si>
  <si>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</si>
  <si>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</si>
  <si>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</si>
  <si>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</si>
  <si>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</si>
  <si>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</si>
  <si>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</si>
  <si>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</si>
  <si>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</si>
  <si>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</si>
  <si>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</si>
  <si>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</si>
  <si>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</si>
  <si>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</si>
  <si>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</si>
  <si>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</si>
  <si>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</si>
  <si>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</si>
  <si>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</si>
  <si>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</si>
  <si>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</si>
  <si>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</si>
  <si>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</si>
  <si>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</si>
  <si>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</si>
  <si>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</si>
  <si>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</si>
  <si>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</si>
  <si>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</si>
  <si>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</si>
  <si>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</si>
  <si>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</si>
  <si>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</si>
  <si>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</si>
  <si>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</si>
  <si>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</si>
  <si>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</si>
  <si>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</si>
  <si>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</si>
  <si>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</si>
  <si>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</si>
  <si>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</si>
  <si>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</si>
  <si>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</si>
  <si>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</si>
  <si>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</si>
  <si>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</si>
  <si>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</si>
  <si>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</si>
  <si>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</si>
  <si>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</si>
  <si>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</si>
  <si>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</si>
  <si>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</si>
  <si>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</si>
  <si>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</si>
  <si>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</si>
  <si>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</si>
  <si>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</si>
  <si>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</si>
  <si>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</si>
  <si>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</si>
  <si>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</si>
  <si>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</si>
  <si>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</si>
  <si>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</si>
  <si>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</si>
  <si>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</si>
  <si>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</si>
  <si>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</si>
  <si>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</si>
  <si>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</si>
  <si>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</si>
  <si>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</si>
  <si>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</si>
  <si>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</si>
  <si>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</si>
  <si>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</si>
  <si>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</si>
  <si>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</si>
  <si>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</si>
  <si>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</si>
  <si>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</si>
  <si>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</si>
  <si>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</si>
  <si>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</si>
  <si>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</si>
  <si>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</si>
  <si>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</si>
  <si>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</si>
  <si>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</si>
  <si>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</si>
  <si>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</si>
  <si>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</si>
  <si>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</si>
  <si>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</si>
  <si>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</si>
  <si>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</si>
  <si>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</si>
  <si>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</si>
  <si>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</si>
  <si>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</si>
  <si>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</si>
  <si>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</si>
  <si>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</si>
  <si>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</si>
  <si>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</si>
  <si>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</si>
  <si>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</si>
  <si>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</si>
  <si>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</si>
  <si>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</si>
  <si>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</si>
  <si>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</si>
  <si>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</si>
  <si>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</si>
  <si>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</si>
  <si>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</si>
  <si>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</si>
  <si>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</si>
  <si>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</si>
  <si>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</si>
  <si>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</si>
  <si>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</si>
  <si>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</si>
  <si>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</si>
  <si>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</si>
  <si>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</si>
  <si>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</si>
  <si>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</si>
  <si>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</si>
  <si>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</si>
  <si>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</si>
  <si>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</si>
  <si>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</si>
  <si>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</si>
  <si>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</si>
  <si>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</si>
  <si>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</si>
  <si>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</si>
  <si>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</si>
  <si>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</si>
  <si>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</si>
  <si>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</si>
  <si>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</si>
  <si>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</si>
  <si>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</si>
  <si>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</si>
  <si>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</si>
  <si>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</si>
  <si>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</si>
  <si>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</si>
  <si>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</si>
  <si>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</si>
  <si>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</si>
  <si>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</si>
  <si>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</si>
  <si>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</si>
  <si>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</si>
  <si>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</si>
  <si>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</si>
  <si>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</si>
  <si>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</si>
  <si>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</si>
  <si>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</si>
  <si>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</si>
  <si>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</si>
  <si>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</si>
  <si>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</si>
  <si>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</si>
  <si>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</si>
  <si>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</si>
  <si>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</si>
  <si>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</si>
  <si>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</si>
  <si>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</si>
  <si>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</si>
  <si>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</si>
  <si>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</si>
  <si>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</si>
  <si>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</si>
  <si>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</si>
  <si>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</si>
  <si>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</si>
  <si>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</si>
  <si>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</si>
  <si>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</si>
  <si>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</si>
  <si>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</si>
  <si>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</si>
  <si>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</si>
  <si>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</si>
  <si>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</si>
  <si>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</si>
  <si>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</si>
  <si>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</si>
  <si>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</si>
  <si>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</si>
  <si>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</si>
  <si>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</si>
  <si>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</si>
  <si>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</si>
  <si>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</si>
  <si>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</si>
  <si>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</si>
  <si>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</si>
  <si>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</si>
  <si>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</si>
  <si>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</si>
  <si>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</si>
  <si>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</si>
  <si>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</si>
  <si>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</si>
  <si>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</si>
  <si>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</si>
  <si>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</si>
  <si>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</si>
  <si>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</si>
  <si>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</si>
  <si>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</si>
  <si>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</si>
  <si>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</si>
  <si>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</si>
  <si>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</si>
  <si>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</si>
  <si>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</si>
  <si>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</si>
  <si>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</si>
  <si>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</si>
  <si>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</si>
  <si>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</si>
  <si>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</si>
  <si>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</si>
  <si>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</si>
  <si>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</si>
  <si>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</si>
  <si>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</si>
  <si>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</si>
  <si>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</si>
  <si>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</si>
  <si>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</si>
  <si>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</si>
  <si>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</si>
  <si>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</si>
  <si>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</si>
  <si>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</si>
  <si>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</si>
  <si>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</si>
  <si>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</si>
  <si>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</si>
  <si>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</si>
  <si>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</si>
  <si>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</si>
  <si>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</si>
  <si>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</si>
  <si>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</si>
  <si>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</si>
  <si>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</si>
  <si>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</si>
  <si>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</si>
  <si>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</si>
  <si>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</si>
  <si>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</si>
  <si>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</si>
  <si>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</si>
  <si>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</si>
  <si>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</si>
  <si>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</si>
  <si>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</si>
  <si>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</si>
  <si>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</si>
  <si>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</si>
  <si>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</si>
  <si>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</si>
  <si>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</si>
  <si>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</si>
  <si>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</si>
  <si>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</si>
  <si>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</si>
  <si>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</si>
  <si>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</si>
  <si>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</si>
  <si>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</si>
  <si>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</si>
  <si>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</si>
  <si>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</si>
  <si>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</si>
  <si>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</si>
  <si>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</si>
  <si>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</si>
  <si>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</si>
  <si>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</si>
  <si>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</si>
  <si>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</si>
  <si>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</si>
  <si>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</si>
  <si>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</si>
  <si>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</si>
  <si>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</si>
  <si>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</si>
  <si>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</si>
  <si>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</si>
  <si>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</si>
  <si>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</si>
  <si>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</si>
  <si>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</si>
  <si>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</si>
  <si>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</si>
  <si>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</si>
  <si>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</si>
  <si>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</si>
  <si>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</si>
  <si>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</si>
  <si>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</si>
  <si>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</si>
  <si>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</si>
  <si>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</si>
  <si>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</si>
  <si>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</si>
  <si>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</si>
  <si>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</si>
  <si>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</si>
  <si>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</si>
  <si>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</si>
  <si>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</si>
  <si>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</si>
  <si>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</si>
  <si>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</si>
  <si>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</si>
  <si>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</si>
  <si>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</si>
  <si>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</si>
  <si>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</si>
  <si>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</si>
  <si>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</si>
  <si>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</si>
  <si>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</si>
  <si>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</si>
  <si>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</si>
  <si>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</si>
  <si>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</si>
  <si>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</si>
  <si>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</si>
  <si>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</si>
  <si>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</si>
  <si>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</si>
  <si>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</si>
  <si>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</si>
  <si>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</si>
  <si>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</si>
  <si>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</si>
  <si>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</si>
  <si>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</si>
  <si>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</si>
  <si>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</si>
  <si>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</si>
  <si>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</si>
  <si>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</si>
  <si>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</si>
  <si>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</si>
  <si>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</si>
  <si>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</si>
  <si>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</si>
  <si>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</si>
  <si>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</si>
  <si>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</si>
  <si>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</si>
  <si>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</si>
  <si>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</si>
  <si>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</si>
  <si>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</si>
  <si>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</si>
  <si>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</si>
  <si>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</si>
  <si>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</si>
  <si>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</si>
  <si>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</si>
  <si>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</si>
  <si>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</si>
  <si>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</si>
  <si>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</si>
  <si>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</si>
  <si>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</si>
  <si>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</si>
  <si>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</si>
  <si>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</si>
  <si>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</si>
  <si>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</si>
  <si>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</si>
  <si>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</si>
  <si>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</si>
  <si>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</si>
  <si>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</si>
  <si>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</si>
  <si>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</si>
  <si>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</si>
  <si>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</si>
  <si>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</si>
  <si>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</si>
  <si>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</si>
  <si>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</si>
  <si>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</si>
  <si>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</si>
  <si>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</si>
  <si>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</si>
  <si>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</si>
  <si>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</si>
  <si>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</si>
  <si>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</si>
  <si>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</si>
  <si>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</si>
  <si>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</si>
  <si>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</si>
  <si>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</si>
  <si>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</si>
  <si>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</si>
  <si>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</si>
  <si>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</si>
  <si>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</si>
  <si>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</si>
  <si>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</si>
  <si>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</si>
  <si>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</si>
  <si>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</si>
  <si>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</si>
  <si>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</si>
  <si>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</si>
  <si>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</si>
  <si>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</si>
  <si>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</si>
  <si>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</si>
  <si>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</si>
  <si>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</si>
  <si>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</si>
  <si>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</si>
  <si>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</si>
  <si>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</si>
  <si>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</si>
  <si>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</si>
  <si>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</si>
  <si>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</si>
  <si>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</si>
  <si>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</si>
  <si>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</si>
  <si>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</si>
  <si>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</si>
  <si>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</si>
  <si>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</si>
  <si>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</si>
  <si>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</si>
  <si>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</si>
  <si>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</si>
  <si>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</si>
  <si>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</si>
  <si>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</si>
  <si>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</si>
  <si>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</si>
  <si>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</si>
  <si>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</si>
  <si>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</si>
  <si>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</si>
  <si>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</si>
  <si>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</si>
  <si>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</si>
  <si>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</si>
  <si>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</si>
  <si>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</si>
  <si>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</si>
  <si>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</si>
  <si>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</si>
  <si>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</si>
  <si>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</si>
  <si>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</si>
  <si>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</si>
  <si>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</si>
  <si>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</si>
  <si>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</si>
  <si>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</si>
  <si>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</si>
  <si>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</si>
  <si>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</si>
  <si>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</si>
  <si>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</si>
  <si>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</si>
  <si>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</si>
  <si>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</si>
  <si>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</si>
  <si>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</si>
  <si>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</si>
  <si>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</si>
  <si>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</si>
  <si>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</si>
  <si>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</si>
  <si>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</si>
  <si>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</si>
  <si>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</si>
  <si>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</si>
  <si>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</si>
  <si>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</si>
  <si>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</si>
  <si>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</si>
  <si>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</si>
  <si>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</si>
  <si>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</si>
  <si>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</si>
  <si>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</si>
  <si>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</si>
  <si>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</si>
  <si>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</si>
  <si>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</si>
  <si>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</si>
  <si>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</si>
  <si>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</si>
  <si>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</si>
  <si>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</si>
  <si>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</si>
  <si>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</si>
  <si>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</si>
  <si>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</si>
  <si>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</si>
  <si>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</si>
  <si>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</si>
  <si>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</si>
  <si>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</si>
  <si>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</si>
  <si>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</si>
  <si>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</si>
  <si>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</si>
  <si>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</si>
  <si>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</si>
  <si>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</si>
  <si>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</si>
  <si>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</si>
  <si>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</si>
  <si>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</si>
  <si>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</si>
  <si>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</si>
  <si>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</si>
  <si>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</si>
  <si>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</si>
  <si>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</si>
  <si>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</si>
  <si>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</si>
  <si>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</si>
  <si>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</si>
  <si>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</si>
  <si>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</si>
  <si>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</si>
  <si>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</si>
  <si>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</si>
  <si>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</si>
  <si>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</si>
  <si>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</si>
  <si>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</si>
  <si>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</si>
  <si>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</si>
  <si>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</si>
  <si>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</si>
  <si>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</si>
  <si>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</si>
  <si>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</si>
  <si>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</si>
  <si>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</si>
  <si>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</si>
  <si>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</si>
  <si>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</si>
  <si>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</si>
  <si>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</si>
  <si>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</si>
  <si>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</si>
  <si>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</si>
  <si>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</si>
  <si>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</si>
  <si>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</si>
  <si>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</si>
  <si>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</si>
  <si>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</si>
  <si>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</si>
  <si>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</si>
  <si>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</si>
  <si>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</si>
  <si>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</si>
  <si>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</si>
  <si>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</si>
  <si>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</si>
  <si>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</si>
  <si>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</si>
  <si>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</si>
  <si>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</si>
  <si>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</si>
  <si>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</si>
  <si>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</si>
  <si>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</si>
  <si>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</si>
  <si>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</si>
  <si>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</si>
  <si>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</si>
  <si>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</si>
  <si>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</si>
  <si>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</si>
  <si>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</si>
  <si>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</si>
  <si>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</si>
  <si>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</si>
  <si>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</si>
  <si>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</si>
  <si>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</si>
  <si>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</si>
  <si>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</si>
  <si>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</si>
  <si>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</si>
  <si>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</si>
  <si>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</si>
  <si>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</si>
  <si>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</si>
  <si>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</si>
  <si>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</si>
  <si>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</si>
  <si>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</si>
  <si>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</si>
  <si>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</si>
  <si>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</si>
  <si>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</si>
  <si>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</si>
  <si>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</si>
  <si>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</si>
  <si>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</si>
  <si>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</si>
  <si>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</si>
  <si>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</si>
  <si>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</si>
  <si>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</si>
  <si>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</si>
  <si>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</si>
  <si>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</si>
  <si>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</si>
  <si>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</si>
  <si>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</si>
  <si>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</si>
  <si>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</si>
  <si>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</si>
  <si>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</si>
  <si>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</si>
  <si>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</si>
  <si>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</si>
  <si>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</si>
  <si>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</si>
  <si>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</si>
  <si>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</si>
  <si>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</si>
  <si>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</si>
  <si>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</si>
  <si>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</si>
  <si>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</si>
  <si>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</si>
  <si>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</si>
  <si>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</si>
  <si>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</si>
  <si>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</si>
  <si>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</si>
  <si>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</si>
  <si>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</si>
  <si>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</si>
  <si>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</si>
  <si>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</si>
  <si>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</si>
  <si>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</si>
  <si>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</si>
  <si>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</si>
  <si>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</si>
  <si>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</si>
  <si>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</si>
  <si>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</si>
  <si>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</si>
  <si>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</si>
  <si>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</si>
  <si>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</si>
  <si>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</si>
  <si>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</si>
  <si>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</si>
  <si>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</si>
  <si>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</si>
  <si>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</si>
  <si>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</si>
  <si>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</si>
  <si>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</si>
  <si>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</si>
  <si>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</si>
  <si>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</si>
  <si>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</si>
  <si>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</si>
  <si>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</si>
  <si>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</si>
  <si>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</si>
  <si>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</si>
  <si>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</si>
  <si>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</si>
  <si>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</si>
  <si>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</si>
  <si>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</si>
  <si>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</si>
  <si>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</si>
  <si>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</si>
  <si>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</si>
  <si>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</si>
  <si>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</si>
  <si>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</si>
  <si>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</si>
  <si>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</si>
  <si>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</si>
  <si>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</si>
  <si>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</si>
  <si>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</si>
  <si>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</si>
  <si>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</si>
  <si>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</si>
  <si>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</si>
  <si>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</si>
  <si>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</si>
  <si>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</si>
  <si>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</si>
  <si>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</si>
  <si>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</si>
  <si>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</si>
  <si>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</si>
  <si>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</si>
  <si>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</si>
  <si>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</si>
  <si>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</si>
  <si>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</si>
  <si>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</si>
  <si>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</si>
  <si>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</si>
  <si>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</si>
  <si>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</si>
  <si>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</si>
  <si>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</si>
  <si>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</si>
  <si>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</si>
  <si>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</si>
  <si>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</si>
  <si>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</si>
  <si>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</si>
  <si>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</si>
  <si>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</si>
  <si>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</si>
  <si>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</si>
  <si>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</si>
  <si>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</si>
  <si>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</si>
  <si>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</si>
  <si>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</si>
  <si>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</si>
  <si>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</si>
  <si>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</si>
  <si>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</si>
  <si>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</si>
  <si>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</si>
  <si>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</si>
  <si>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</si>
  <si>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</si>
  <si>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</si>
  <si>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</si>
  <si>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</si>
  <si>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</si>
  <si>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</si>
  <si>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</si>
  <si>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</si>
  <si>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</si>
  <si>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</si>
  <si>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</si>
  <si>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</si>
  <si>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</si>
  <si>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</si>
  <si>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</si>
  <si>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</si>
  <si>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</si>
  <si>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</si>
  <si>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</si>
  <si>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</si>
  <si>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</si>
  <si>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</si>
  <si>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</si>
  <si>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</si>
  <si>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</si>
  <si>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</si>
  <si>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</si>
  <si>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</si>
  <si>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</si>
  <si>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</si>
  <si>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</si>
  <si>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</si>
  <si>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</si>
  <si>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</si>
  <si>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</si>
  <si>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</si>
  <si>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</si>
  <si>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</si>
  <si>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</si>
  <si>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</si>
  <si>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</si>
  <si>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</si>
  <si>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</si>
  <si>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</si>
  <si>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</si>
  <si>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</si>
  <si>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</si>
  <si>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</si>
  <si>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</si>
  <si>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</si>
  <si>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</si>
  <si>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</si>
  <si>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</si>
  <si>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</si>
  <si>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</si>
  <si>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</si>
  <si>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</si>
  <si>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</si>
  <si>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</si>
  <si>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</si>
  <si>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</si>
  <si>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</si>
  <si>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</si>
  <si>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</si>
  <si>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</si>
  <si>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</si>
  <si>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</si>
  <si>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</si>
  <si>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</si>
  <si>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</si>
  <si>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</si>
  <si>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</si>
  <si>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</si>
  <si>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</si>
  <si>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</si>
  <si>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</si>
  <si>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</si>
  <si>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</si>
  <si>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</si>
  <si>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</si>
  <si>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</si>
  <si>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</si>
  <si>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</si>
  <si>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</si>
  <si>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</si>
  <si>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</si>
  <si>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</si>
  <si>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</si>
  <si>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</si>
  <si>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</si>
  <si>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</si>
  <si>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</si>
  <si>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</si>
  <si>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</si>
  <si>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</si>
  <si>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</si>
  <si>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</si>
  <si>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</si>
  <si>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</si>
  <si>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</si>
  <si>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</si>
  <si>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</si>
  <si>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</si>
  <si>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</si>
  <si>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</si>
  <si>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</si>
  <si>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</si>
  <si>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</si>
  <si>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</si>
  <si>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</si>
  <si>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</si>
  <si>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</si>
  <si>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</si>
  <si>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</si>
  <si>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</si>
  <si>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</si>
  <si>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</si>
  <si>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</si>
  <si>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</si>
  <si>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</si>
  <si>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</si>
  <si>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</si>
  <si>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</si>
  <si>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</si>
  <si>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</si>
  <si>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</si>
  <si>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</si>
  <si>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</si>
  <si>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</si>
  <si>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</si>
  <si>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</si>
  <si>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</si>
  <si>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</si>
  <si>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</si>
  <si>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</si>
  <si>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</si>
  <si>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</si>
  <si>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</si>
  <si>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Mont Vernon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</si>
</sst>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41"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367</v>
      </c>
      <c r="C2" s="21">
        <v>367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666269.54</v>
      </c>
      <c r="G9" s="18"/>
      <c r="H9" s="18"/>
      <c r="I9" s="18"/>
      <c r="J9" s="67">
        <f>SUM(I440)</f>
        <v>12227.97</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25166.3</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64.260000000000005</v>
      </c>
      <c r="G13" s="18">
        <v>15835.52</v>
      </c>
      <c r="H13" s="18">
        <v>21330.25</v>
      </c>
      <c r="I13" s="18"/>
      <c r="J13" s="67">
        <f>SUM(I443)</f>
        <v>376133.84</v>
      </c>
      <c r="K13" s="24" t="s">
        <v>288</v>
      </c>
      <c r="L13" s="24" t="s">
        <v>288</v>
      </c>
      <c r="M13" s="8"/>
      <c r="N13" s="266"/>
    </row>
    <row r="14" spans="1:14" s="3" customFormat="1" ht="12.2" customHeight="1" x14ac:dyDescent="0.15">
      <c r="A14" s="1" t="s">
        <v>565</v>
      </c>
      <c r="B14" s="2" t="s">
        <v>289</v>
      </c>
      <c r="C14" s="6">
        <v>6</v>
      </c>
      <c r="D14" s="2" t="s">
        <v>428</v>
      </c>
      <c r="E14" s="6">
        <v>150</v>
      </c>
      <c r="F14" s="18">
        <v>155.1</v>
      </c>
      <c r="G14" s="18">
        <v>0</v>
      </c>
      <c r="H14" s="18">
        <v>0</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691655.20000000007</v>
      </c>
      <c r="G19" s="41">
        <f>SUM(G9:G18)</f>
        <v>15835.52</v>
      </c>
      <c r="H19" s="41">
        <f>SUM(H9:H18)</f>
        <v>21330.25</v>
      </c>
      <c r="I19" s="41">
        <f>SUM(I9:I18)</f>
        <v>0</v>
      </c>
      <c r="J19" s="41">
        <f>SUM(J9:J18)</f>
        <v>388361.81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5489.8</v>
      </c>
      <c r="H22" s="18">
        <v>19676.5</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f>276+182531.38-33567.44</f>
        <v>149239.94</v>
      </c>
      <c r="G23" s="18">
        <v>3699.35</v>
      </c>
      <c r="H23" s="18">
        <v>0</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37443.67</v>
      </c>
      <c r="G24" s="18">
        <v>0</v>
      </c>
      <c r="H24" s="18">
        <v>0</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7431.48</v>
      </c>
      <c r="G28" s="18">
        <v>0</v>
      </c>
      <c r="H28" s="18">
        <v>0</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6108.74</v>
      </c>
      <c r="G29" s="18">
        <v>0</v>
      </c>
      <c r="H29" s="18">
        <v>0</v>
      </c>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v>6646.37</v>
      </c>
      <c r="H30" s="18">
        <v>1653.75</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c r="J31" s="67">
        <f>SUM(I452)</f>
        <v>12227.97</v>
      </c>
      <c r="K31" s="24" t="s">
        <v>288</v>
      </c>
      <c r="L31" s="24" t="s">
        <v>288</v>
      </c>
      <c r="M31" s="8"/>
      <c r="N31" s="266"/>
    </row>
    <row r="32" spans="1:14" s="3" customFormat="1" ht="12.2" customHeight="1" thickTop="1" x14ac:dyDescent="0.15">
      <c r="A32" s="38" t="s">
        <v>406</v>
      </c>
      <c r="B32" s="39" t="s">
        <v>289</v>
      </c>
      <c r="C32" s="40">
        <v>22</v>
      </c>
      <c r="D32" s="39" t="s">
        <v>429</v>
      </c>
      <c r="E32" s="39"/>
      <c r="F32" s="41">
        <f>SUM(F22:F31)</f>
        <v>200223.83</v>
      </c>
      <c r="G32" s="41">
        <f>SUM(G22:G31)</f>
        <v>15835.52</v>
      </c>
      <c r="H32" s="41">
        <f>SUM(H22:H31)</f>
        <v>21330.25</v>
      </c>
      <c r="I32" s="41">
        <f>SUM(I22:I31)</f>
        <v>0</v>
      </c>
      <c r="J32" s="41">
        <f>SUM(J22:J31)</f>
        <v>12227.97</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0</v>
      </c>
      <c r="H48" s="18">
        <v>0</v>
      </c>
      <c r="I48" s="18"/>
      <c r="J48" s="13">
        <f>SUM(I460)</f>
        <v>376133.84</v>
      </c>
      <c r="K48" s="24" t="s">
        <v>288</v>
      </c>
      <c r="L48" s="24" t="s">
        <v>288</v>
      </c>
      <c r="M48" s="8"/>
      <c r="N48" s="266"/>
    </row>
    <row r="49" spans="1:14" s="3" customFormat="1" ht="12.2" customHeight="1" x14ac:dyDescent="0.15">
      <c r="A49" s="1" t="s">
        <v>859</v>
      </c>
      <c r="B49" s="2" t="s">
        <v>289</v>
      </c>
      <c r="C49" s="6">
        <v>34</v>
      </c>
      <c r="D49" s="2"/>
      <c r="E49" s="6">
        <v>753</v>
      </c>
      <c r="F49" s="18">
        <v>133739.25</v>
      </c>
      <c r="G49" s="18">
        <v>0</v>
      </c>
      <c r="H49" s="18">
        <v>0</v>
      </c>
      <c r="I49" s="18"/>
      <c r="J49" s="13">
        <f>I455</f>
        <v>0</v>
      </c>
      <c r="K49" s="24"/>
      <c r="L49" s="24"/>
      <c r="M49" s="8"/>
      <c r="N49" s="266"/>
    </row>
    <row r="50" spans="1:14" s="3" customFormat="1" ht="12.2" customHeight="1" thickBot="1" x14ac:dyDescent="0.2">
      <c r="A50" s="29" t="s">
        <v>840</v>
      </c>
      <c r="B50" s="2" t="s">
        <v>289</v>
      </c>
      <c r="C50" s="71">
        <v>35</v>
      </c>
      <c r="D50" s="2" t="s">
        <v>653</v>
      </c>
      <c r="E50" s="6">
        <v>770</v>
      </c>
      <c r="F50" s="18">
        <f>187212.73+120479.39</f>
        <v>307692.12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491431.37</v>
      </c>
      <c r="G51" s="41">
        <f>SUM(G35:G50)</f>
        <v>0</v>
      </c>
      <c r="H51" s="41">
        <f>SUM(H35:H50)</f>
        <v>0</v>
      </c>
      <c r="I51" s="41">
        <f>SUM(I35:I50)</f>
        <v>0</v>
      </c>
      <c r="J51" s="41">
        <f>SUM(J35:J50)</f>
        <v>376133.84</v>
      </c>
      <c r="K51" s="45" t="s">
        <v>288</v>
      </c>
      <c r="L51" s="45" t="s">
        <v>288</v>
      </c>
      <c r="N51" s="264"/>
    </row>
    <row r="52" spans="1:14" s="3" customFormat="1" ht="12.2" customHeight="1" thickTop="1" x14ac:dyDescent="0.15">
      <c r="A52" s="38" t="s">
        <v>455</v>
      </c>
      <c r="B52" s="39" t="s">
        <v>289</v>
      </c>
      <c r="C52" s="6">
        <v>37</v>
      </c>
      <c r="D52" s="39" t="s">
        <v>653</v>
      </c>
      <c r="E52" s="39"/>
      <c r="F52" s="41">
        <f>F51+F32</f>
        <v>691655.2</v>
      </c>
      <c r="G52" s="41">
        <f>G51+G32</f>
        <v>15835.52</v>
      </c>
      <c r="H52" s="41">
        <f>H51+H32</f>
        <v>21330.25</v>
      </c>
      <c r="I52" s="41">
        <f>I51+I32</f>
        <v>0</v>
      </c>
      <c r="J52" s="41">
        <f>J51+J32</f>
        <v>388361.81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3783744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3783744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863.19</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863.19</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609.71</v>
      </c>
      <c r="G96" s="18"/>
      <c r="H96" s="18"/>
      <c r="I96" s="18"/>
      <c r="J96" s="18">
        <v>246.97</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4710.18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70</v>
      </c>
      <c r="G102" s="18"/>
      <c r="H102" s="18">
        <v>66.75</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v>0</v>
      </c>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0</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67364.23</v>
      </c>
      <c r="G109" s="18">
        <v>0</v>
      </c>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400.48</v>
      </c>
      <c r="G110" s="18">
        <v>47.86</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68444.42</v>
      </c>
      <c r="G111" s="41">
        <f>SUM(G96:G110)</f>
        <v>4758.04</v>
      </c>
      <c r="H111" s="41">
        <f>SUM(H96:H110)</f>
        <v>66.75</v>
      </c>
      <c r="I111" s="41">
        <f>SUM(I96:I110)</f>
        <v>0</v>
      </c>
      <c r="J111" s="41">
        <f>SUM(J96:J110)</f>
        <v>246.97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3853051.61</v>
      </c>
      <c r="G112" s="41">
        <f>G60+G111</f>
        <v>4758.04</v>
      </c>
      <c r="H112" s="41">
        <f>H60+H79+H94+H111</f>
        <v>66.75</v>
      </c>
      <c r="I112" s="41">
        <f>I60+I111</f>
        <v>0</v>
      </c>
      <c r="J112" s="41">
        <f>J60+J111</f>
        <v>246.97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968474.24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396802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1365276.24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v>6648.13</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v>3450.07</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771.24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17995.53</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24643.66</v>
      </c>
      <c r="G136" s="41">
        <f>SUM(G123:G135)</f>
        <v>771.24</v>
      </c>
      <c r="H136" s="41">
        <f>SUM(H123:H135)</f>
        <v>3450.07</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1389919.9</v>
      </c>
      <c r="G140" s="41">
        <f>G121+SUM(G136:G137)</f>
        <v>771.24</v>
      </c>
      <c r="H140" s="41">
        <f>H121+SUM(H136:H139)</f>
        <v>3450.07</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19023.060000000001</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689.98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9127.56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37968.33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v>64839.76</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526.9</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50800</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v>10135.08</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526.9</v>
      </c>
      <c r="G163" s="41">
        <f>SUM(G150:G162)</f>
        <v>37968.33</v>
      </c>
      <c r="H163" s="41">
        <f>SUM(H150:H162)</f>
        <v>154615.43999999997</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526.9</v>
      </c>
      <c r="G170" s="41">
        <f>G147+G163+SUM(G164:G169)</f>
        <v>37968.33</v>
      </c>
      <c r="H170" s="41">
        <f>H147+H163+SUM(H164:H169)</f>
        <v>154615.43999999997</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27779.360000000001</v>
      </c>
      <c r="H180" s="18"/>
      <c r="I180" s="18"/>
      <c r="J180" s="18">
        <v>50000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27779.360000000001</v>
      </c>
      <c r="H184" s="41">
        <f>SUM(H180:H183)</f>
        <v>0</v>
      </c>
      <c r="I184" s="41">
        <f>SUM(I180:I183)</f>
        <v>0</v>
      </c>
      <c r="J184" s="41">
        <f>SUM(J180:J183)</f>
        <v>50000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27779.360000000001</v>
      </c>
      <c r="H193" s="41">
        <f>+H184+SUM(H189:H192)</f>
        <v>0</v>
      </c>
      <c r="I193" s="41">
        <f>I178+I184+SUM(I189:I192)</f>
        <v>0</v>
      </c>
      <c r="J193" s="41">
        <f>J184</f>
        <v>50000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5243498.41</v>
      </c>
      <c r="G194" s="47">
        <f>G112+G140+G170+G193</f>
        <v>71276.97</v>
      </c>
      <c r="H194" s="47">
        <f>H112+H140+H170+H193</f>
        <v>158132.25999999998</v>
      </c>
      <c r="I194" s="47">
        <f>I112+I140+I170+I193</f>
        <v>0</v>
      </c>
      <c r="J194" s="47">
        <f>J112+J140+J193</f>
        <v>50246.97</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1173406.6399999999</v>
      </c>
      <c r="G198" s="18">
        <v>469780.26</v>
      </c>
      <c r="H198" s="18">
        <v>2185.89</v>
      </c>
      <c r="I198" s="18">
        <v>51625.7</v>
      </c>
      <c r="J198" s="18">
        <v>12999.25</v>
      </c>
      <c r="K198" s="18">
        <v>0</v>
      </c>
      <c r="L198" s="19">
        <f>SUM(F198:K198)</f>
        <v>1709997.7399999998</v>
      </c>
      <c r="M198" s="8"/>
      <c r="N198" s="266"/>
    </row>
    <row r="199" spans="1:14" s="3" customFormat="1" ht="12.2" customHeight="1" x14ac:dyDescent="0.15">
      <c r="A199" s="1" t="s">
        <v>439</v>
      </c>
      <c r="B199" s="2" t="s">
        <v>341</v>
      </c>
      <c r="C199" s="2" t="s">
        <v>291</v>
      </c>
      <c r="D199" s="2" t="s">
        <v>431</v>
      </c>
      <c r="E199" s="6">
        <v>1200</v>
      </c>
      <c r="F199" s="18">
        <v>255781.15</v>
      </c>
      <c r="G199" s="18">
        <v>149462.24</v>
      </c>
      <c r="H199" s="18">
        <f>253965.53-17379.72-95193</f>
        <v>141392.81</v>
      </c>
      <c r="I199" s="18">
        <v>6111.25</v>
      </c>
      <c r="J199" s="18">
        <v>2782</v>
      </c>
      <c r="K199" s="18">
        <v>0</v>
      </c>
      <c r="L199" s="19">
        <f>SUM(F199:K199)</f>
        <v>555529.44999999995</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6400</v>
      </c>
      <c r="G201" s="18">
        <v>1477.33</v>
      </c>
      <c r="H201" s="18">
        <v>0</v>
      </c>
      <c r="I201" s="18">
        <v>106.7</v>
      </c>
      <c r="J201" s="18">
        <v>0</v>
      </c>
      <c r="K201" s="18">
        <v>0</v>
      </c>
      <c r="L201" s="19">
        <f>SUM(F201:K201)</f>
        <v>7984.03</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223035.3</v>
      </c>
      <c r="G203" s="18">
        <v>106435.67</v>
      </c>
      <c r="H203" s="18">
        <f>41317.7-3747.69-706.27-485.98</f>
        <v>36377.759999999995</v>
      </c>
      <c r="I203" s="18">
        <v>8499.52</v>
      </c>
      <c r="J203" s="18">
        <v>0</v>
      </c>
      <c r="K203" s="18">
        <v>0</v>
      </c>
      <c r="L203" s="19">
        <f t="shared" ref="L203:L209" si="0">SUM(F203:K203)</f>
        <v>374348.25</v>
      </c>
      <c r="M203" s="8"/>
      <c r="N203" s="266"/>
    </row>
    <row r="204" spans="1:14" s="3" customFormat="1" ht="12.2" customHeight="1" x14ac:dyDescent="0.15">
      <c r="A204" s="1" t="s">
        <v>443</v>
      </c>
      <c r="B204" s="2" t="s">
        <v>341</v>
      </c>
      <c r="C204" s="2" t="s">
        <v>295</v>
      </c>
      <c r="D204" s="2" t="s">
        <v>431</v>
      </c>
      <c r="E204" s="6">
        <v>2200</v>
      </c>
      <c r="F204" s="18">
        <v>70880.17</v>
      </c>
      <c r="G204" s="18">
        <v>44602.17</v>
      </c>
      <c r="H204" s="18">
        <v>0</v>
      </c>
      <c r="I204" s="18">
        <v>3535.61</v>
      </c>
      <c r="J204" s="18">
        <v>0</v>
      </c>
      <c r="K204" s="18">
        <v>0</v>
      </c>
      <c r="L204" s="19">
        <f t="shared" si="0"/>
        <v>119017.95</v>
      </c>
      <c r="M204" s="8"/>
      <c r="N204" s="266"/>
    </row>
    <row r="205" spans="1:14" s="3" customFormat="1" ht="12.2" customHeight="1" x14ac:dyDescent="0.15">
      <c r="A205" s="1" t="s">
        <v>444</v>
      </c>
      <c r="B205" s="2" t="s">
        <v>341</v>
      </c>
      <c r="C205" s="2" t="s">
        <v>296</v>
      </c>
      <c r="D205" s="2" t="s">
        <v>431</v>
      </c>
      <c r="E205" s="6">
        <v>2300</v>
      </c>
      <c r="F205" s="18">
        <v>7092.5</v>
      </c>
      <c r="G205" s="18">
        <v>555.6</v>
      </c>
      <c r="H205" s="18">
        <v>232883.33</v>
      </c>
      <c r="I205" s="18">
        <v>670.15</v>
      </c>
      <c r="J205" s="18">
        <v>0</v>
      </c>
      <c r="K205" s="18">
        <v>3310.61</v>
      </c>
      <c r="L205" s="19">
        <f t="shared" si="0"/>
        <v>244512.18999999997</v>
      </c>
      <c r="M205" s="8"/>
      <c r="N205" s="266"/>
    </row>
    <row r="206" spans="1:14" s="3" customFormat="1" ht="12.2" customHeight="1" x14ac:dyDescent="0.15">
      <c r="A206" s="1" t="s">
        <v>445</v>
      </c>
      <c r="B206" s="2" t="s">
        <v>341</v>
      </c>
      <c r="C206" s="2" t="s">
        <v>297</v>
      </c>
      <c r="D206" s="2" t="s">
        <v>431</v>
      </c>
      <c r="E206" s="6">
        <v>2400</v>
      </c>
      <c r="F206" s="18">
        <v>167752.04</v>
      </c>
      <c r="G206" s="18">
        <v>93151.59</v>
      </c>
      <c r="H206" s="18">
        <v>3039.64</v>
      </c>
      <c r="I206" s="18">
        <v>11562.51</v>
      </c>
      <c r="J206" s="18">
        <v>0</v>
      </c>
      <c r="K206" s="18">
        <v>795</v>
      </c>
      <c r="L206" s="19">
        <f t="shared" si="0"/>
        <v>276300.78000000003</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6"/>
    </row>
    <row r="208" spans="1:14" s="3" customFormat="1" ht="12.2" customHeight="1" x14ac:dyDescent="0.15">
      <c r="A208" s="1" t="s">
        <v>447</v>
      </c>
      <c r="B208" s="2" t="s">
        <v>341</v>
      </c>
      <c r="C208" s="2" t="s">
        <v>299</v>
      </c>
      <c r="D208" s="2" t="s">
        <v>431</v>
      </c>
      <c r="E208" s="6">
        <v>2600</v>
      </c>
      <c r="F208" s="18">
        <v>84028.23</v>
      </c>
      <c r="G208" s="18">
        <v>41293.550000000003</v>
      </c>
      <c r="H208" s="18">
        <f>157890.23+8750</f>
        <v>166640.23000000001</v>
      </c>
      <c r="I208" s="18">
        <v>68505.100000000006</v>
      </c>
      <c r="J208" s="18">
        <v>3874</v>
      </c>
      <c r="K208" s="18">
        <v>0</v>
      </c>
      <c r="L208" s="19">
        <f t="shared" si="0"/>
        <v>364341.11</v>
      </c>
      <c r="M208" s="8"/>
      <c r="N208" s="266"/>
    </row>
    <row r="209" spans="1:14" s="3" customFormat="1" ht="12.2" customHeight="1" x14ac:dyDescent="0.15">
      <c r="A209" s="1" t="s">
        <v>448</v>
      </c>
      <c r="B209" s="2" t="s">
        <v>341</v>
      </c>
      <c r="C209" s="2" t="s">
        <v>300</v>
      </c>
      <c r="D209" s="2" t="s">
        <v>431</v>
      </c>
      <c r="E209" s="6">
        <v>2700</v>
      </c>
      <c r="F209" s="18">
        <v>0</v>
      </c>
      <c r="G209" s="18">
        <v>0</v>
      </c>
      <c r="H209" s="18">
        <v>125843.73</v>
      </c>
      <c r="I209" s="18">
        <v>0</v>
      </c>
      <c r="J209" s="18">
        <v>0</v>
      </c>
      <c r="K209" s="18">
        <v>0</v>
      </c>
      <c r="L209" s="19">
        <f t="shared" si="0"/>
        <v>125843.73</v>
      </c>
      <c r="M209" s="8"/>
      <c r="N209" s="266"/>
    </row>
    <row r="210" spans="1:14" s="3" customFormat="1" ht="12.2" customHeight="1" x14ac:dyDescent="0.15">
      <c r="A210" s="1" t="s">
        <v>449</v>
      </c>
      <c r="B210" s="2" t="s">
        <v>341</v>
      </c>
      <c r="C210" s="2" t="s">
        <v>343</v>
      </c>
      <c r="D210" s="2" t="s">
        <v>431</v>
      </c>
      <c r="E210" s="6">
        <v>2800</v>
      </c>
      <c r="F210" s="18">
        <v>27841.200000000001</v>
      </c>
      <c r="G210" s="18">
        <v>2410.94</v>
      </c>
      <c r="H210" s="18">
        <v>11399.63</v>
      </c>
      <c r="I210" s="18">
        <v>11866.76</v>
      </c>
      <c r="J210" s="18">
        <v>769.23</v>
      </c>
      <c r="K210" s="18">
        <v>0</v>
      </c>
      <c r="L210" s="19">
        <f>SUM(F210:K210)</f>
        <v>54287.76</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2016217.2299999997</v>
      </c>
      <c r="G212" s="41">
        <f t="shared" si="1"/>
        <v>909169.35</v>
      </c>
      <c r="H212" s="41">
        <f t="shared" si="1"/>
        <v>719763.02</v>
      </c>
      <c r="I212" s="41">
        <f t="shared" si="1"/>
        <v>162483.29999999999</v>
      </c>
      <c r="J212" s="41">
        <f t="shared" si="1"/>
        <v>20424.48</v>
      </c>
      <c r="K212" s="41">
        <f t="shared" si="1"/>
        <v>4105.6100000000006</v>
      </c>
      <c r="L212" s="41">
        <f t="shared" si="1"/>
        <v>3832162.9899999993</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f>1043138.19+2573.45-33567.44</f>
        <v>1012144.2</v>
      </c>
      <c r="I216" s="18"/>
      <c r="J216" s="18"/>
      <c r="K216" s="18"/>
      <c r="L216" s="19">
        <f>SUM(F216:K216)</f>
        <v>1012144.2</v>
      </c>
      <c r="M216" s="8"/>
      <c r="N216" s="266"/>
    </row>
    <row r="217" spans="1:14" s="3" customFormat="1" ht="12.2" customHeight="1" x14ac:dyDescent="0.15">
      <c r="A217" s="1" t="s">
        <v>439</v>
      </c>
      <c r="B217" s="2" t="s">
        <v>346</v>
      </c>
      <c r="C217" s="2" t="s">
        <v>291</v>
      </c>
      <c r="D217" s="2" t="s">
        <v>431</v>
      </c>
      <c r="E217" s="6">
        <v>1200</v>
      </c>
      <c r="F217" s="18"/>
      <c r="G217" s="18"/>
      <c r="H217" s="18">
        <f>42207.11+17379.72+95193</f>
        <v>154779.83000000002</v>
      </c>
      <c r="I217" s="18"/>
      <c r="J217" s="18"/>
      <c r="K217" s="18"/>
      <c r="L217" s="19">
        <f>SUM(F217:K217)</f>
        <v>154779.83000000002</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f>3747.69+706.27+485.98</f>
        <v>4939.9400000000005</v>
      </c>
      <c r="I221" s="18"/>
      <c r="J221" s="18"/>
      <c r="K221" s="18"/>
      <c r="L221" s="19">
        <f t="shared" ref="L221:L227" si="2">SUM(F221:K221)</f>
        <v>4939.9400000000005</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v>0</v>
      </c>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41212.699999999997</v>
      </c>
      <c r="I227" s="18"/>
      <c r="J227" s="18"/>
      <c r="K227" s="18"/>
      <c r="L227" s="19">
        <f t="shared" si="2"/>
        <v>41212.699999999997</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1213076.67</v>
      </c>
      <c r="I230" s="41">
        <f>SUM(I216:I229)</f>
        <v>0</v>
      </c>
      <c r="J230" s="41">
        <f>SUM(J216:J229)</f>
        <v>0</v>
      </c>
      <c r="K230" s="41">
        <f t="shared" si="3"/>
        <v>0</v>
      </c>
      <c r="L230" s="41">
        <f t="shared" si="3"/>
        <v>1213076.67</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2016217.2299999997</v>
      </c>
      <c r="G258" s="41">
        <f t="shared" si="8"/>
        <v>909169.35</v>
      </c>
      <c r="H258" s="41">
        <f t="shared" si="8"/>
        <v>1932839.69</v>
      </c>
      <c r="I258" s="41">
        <f t="shared" si="8"/>
        <v>162483.29999999999</v>
      </c>
      <c r="J258" s="41">
        <f t="shared" si="8"/>
        <v>20424.48</v>
      </c>
      <c r="K258" s="41">
        <f t="shared" si="8"/>
        <v>4105.6100000000006</v>
      </c>
      <c r="L258" s="41">
        <f t="shared" si="8"/>
        <v>5045239.6599999992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0</v>
      </c>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27779.360000000001</v>
      </c>
      <c r="L264" s="19">
        <f>SUM(F264:K264)</f>
        <v>27779.360000000001</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77779.360000000001</v>
      </c>
      <c r="L271" s="41">
        <f t="shared" si="9"/>
        <v>77779.360000000001</v>
      </c>
      <c r="M271" s="8"/>
      <c r="N271" s="266"/>
    </row>
    <row r="272" spans="1:14" s="34" customFormat="1" ht="12.2" customHeight="1" thickTop="1" x14ac:dyDescent="0.2">
      <c r="A272" s="43" t="s">
        <v>464</v>
      </c>
      <c r="B272" s="40">
        <v>10</v>
      </c>
      <c r="C272" s="40">
        <v>18</v>
      </c>
      <c r="D272" s="39" t="s">
        <v>431</v>
      </c>
      <c r="E272" s="40"/>
      <c r="F272" s="42">
        <f t="shared" ref="F272:L272" si="11">F258+F271</f>
        <v>2016217.2299999997</v>
      </c>
      <c r="G272" s="42">
        <f t="shared" si="11"/>
        <v>909169.35</v>
      </c>
      <c r="H272" s="42">
        <f t="shared" si="11"/>
        <v>1932839.69</v>
      </c>
      <c r="I272" s="42">
        <f t="shared" si="11"/>
        <v>162483.29999999999</v>
      </c>
      <c r="J272" s="42">
        <f t="shared" si="11"/>
        <v>20424.48</v>
      </c>
      <c r="K272" s="42">
        <f t="shared" si="11"/>
        <v>81884.97</v>
      </c>
      <c r="L272" s="42">
        <f t="shared" si="11"/>
        <v>5123019.0199999996</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14056.57</v>
      </c>
      <c r="G277" s="18">
        <v>1075.32</v>
      </c>
      <c r="H277" s="18">
        <v>0</v>
      </c>
      <c r="I277" s="18">
        <v>8585.4500000000007</v>
      </c>
      <c r="J277" s="18">
        <v>0</v>
      </c>
      <c r="K277" s="18">
        <v>0</v>
      </c>
      <c r="L277" s="19">
        <f>SUM(F277:K277)</f>
        <v>23717.34</v>
      </c>
      <c r="M277" s="8"/>
      <c r="N277" s="266"/>
    </row>
    <row r="278" spans="1:14" s="3" customFormat="1" ht="12.2" customHeight="1" x14ac:dyDescent="0.15">
      <c r="A278" s="1" t="s">
        <v>439</v>
      </c>
      <c r="B278" s="2" t="s">
        <v>357</v>
      </c>
      <c r="C278" s="2" t="s">
        <v>291</v>
      </c>
      <c r="D278" s="2" t="s">
        <v>431</v>
      </c>
      <c r="E278" s="6">
        <v>1200</v>
      </c>
      <c r="F278" s="18">
        <v>46729.39</v>
      </c>
      <c r="G278" s="18">
        <v>11892.88</v>
      </c>
      <c r="H278" s="18">
        <v>2575.71</v>
      </c>
      <c r="I278" s="18">
        <v>166</v>
      </c>
      <c r="J278" s="18">
        <v>0</v>
      </c>
      <c r="K278" s="18">
        <v>0</v>
      </c>
      <c r="L278" s="19">
        <f>SUM(F278:K278)</f>
        <v>61363.979999999996</v>
      </c>
      <c r="M278" s="8"/>
      <c r="N278" s="266"/>
    </row>
    <row r="279" spans="1:14" s="3" customFormat="1" ht="12.2" customHeight="1" x14ac:dyDescent="0.15">
      <c r="A279" s="1" t="s">
        <v>440</v>
      </c>
      <c r="B279" s="2" t="s">
        <v>357</v>
      </c>
      <c r="C279" s="2" t="s">
        <v>292</v>
      </c>
      <c r="D279" s="2" t="s">
        <v>431</v>
      </c>
      <c r="E279" s="6">
        <v>1300</v>
      </c>
      <c r="F279" s="18"/>
      <c r="G279" s="18"/>
      <c r="H279" s="18">
        <v>0</v>
      </c>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0</v>
      </c>
      <c r="G280" s="18">
        <v>0</v>
      </c>
      <c r="H280" s="18">
        <v>0</v>
      </c>
      <c r="I280" s="18">
        <v>3450.07</v>
      </c>
      <c r="J280" s="18">
        <v>0</v>
      </c>
      <c r="K280" s="18">
        <v>0</v>
      </c>
      <c r="L280" s="19">
        <f>SUM(F280:K280)</f>
        <v>3450.07</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0</v>
      </c>
      <c r="G282" s="18">
        <v>0</v>
      </c>
      <c r="H282" s="18">
        <v>3641.78</v>
      </c>
      <c r="I282" s="18">
        <v>1135.19</v>
      </c>
      <c r="J282" s="18">
        <v>0</v>
      </c>
      <c r="K282" s="18">
        <v>0</v>
      </c>
      <c r="L282" s="19">
        <f t="shared" ref="L282:L288" si="12">SUM(F282:K282)</f>
        <v>4776.97</v>
      </c>
      <c r="M282" s="8"/>
      <c r="N282" s="266"/>
    </row>
    <row r="283" spans="1:14" s="3" customFormat="1" ht="12.2" customHeight="1" x14ac:dyDescent="0.15">
      <c r="A283" s="1" t="s">
        <v>443</v>
      </c>
      <c r="B283" s="2" t="s">
        <v>357</v>
      </c>
      <c r="C283" s="2" t="s">
        <v>295</v>
      </c>
      <c r="D283" s="2" t="s">
        <v>431</v>
      </c>
      <c r="E283" s="6">
        <v>2200</v>
      </c>
      <c r="F283" s="18">
        <v>19812.5</v>
      </c>
      <c r="G283" s="18">
        <v>4550.04</v>
      </c>
      <c r="H283" s="18">
        <v>2735.8</v>
      </c>
      <c r="I283" s="18">
        <v>66.75</v>
      </c>
      <c r="J283" s="18">
        <v>0</v>
      </c>
      <c r="K283" s="18">
        <v>0</v>
      </c>
      <c r="L283" s="19">
        <f t="shared" si="12"/>
        <v>27165.09</v>
      </c>
      <c r="M283" s="8"/>
      <c r="N283" s="266"/>
    </row>
    <row r="284" spans="1:14" s="3" customFormat="1" ht="12.2" customHeight="1" x14ac:dyDescent="0.15">
      <c r="A284" s="1" t="s">
        <v>444</v>
      </c>
      <c r="B284" s="2" t="s">
        <v>357</v>
      </c>
      <c r="C284" s="2" t="s">
        <v>296</v>
      </c>
      <c r="D284" s="2" t="s">
        <v>431</v>
      </c>
      <c r="E284" s="6">
        <v>2300</v>
      </c>
      <c r="F284" s="18">
        <v>0</v>
      </c>
      <c r="G284" s="18">
        <v>0</v>
      </c>
      <c r="H284" s="18">
        <v>3012.5</v>
      </c>
      <c r="I284" s="18">
        <v>0</v>
      </c>
      <c r="J284" s="18">
        <v>0</v>
      </c>
      <c r="K284" s="18">
        <v>0</v>
      </c>
      <c r="L284" s="19">
        <f t="shared" si="12"/>
        <v>3012.5</v>
      </c>
      <c r="M284" s="8"/>
      <c r="N284" s="266"/>
    </row>
    <row r="285" spans="1:14" s="3" customFormat="1" ht="12.2" customHeight="1" x14ac:dyDescent="0.15">
      <c r="A285" s="1" t="s">
        <v>445</v>
      </c>
      <c r="B285" s="2" t="s">
        <v>357</v>
      </c>
      <c r="C285" s="2" t="s">
        <v>297</v>
      </c>
      <c r="D285" s="2" t="s">
        <v>431</v>
      </c>
      <c r="E285" s="6">
        <v>2400</v>
      </c>
      <c r="F285" s="18">
        <v>0</v>
      </c>
      <c r="G285" s="18">
        <v>1742.26</v>
      </c>
      <c r="H285" s="18">
        <v>0</v>
      </c>
      <c r="I285" s="18">
        <v>0</v>
      </c>
      <c r="J285" s="18">
        <v>0</v>
      </c>
      <c r="K285" s="18">
        <v>0</v>
      </c>
      <c r="L285" s="19">
        <f t="shared" si="12"/>
        <v>1742.26</v>
      </c>
      <c r="M285" s="8"/>
      <c r="N285" s="2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6"/>
    </row>
    <row r="287" spans="1:14" s="3" customFormat="1" ht="12.2" customHeight="1" x14ac:dyDescent="0.15">
      <c r="A287" s="1" t="s">
        <v>447</v>
      </c>
      <c r="B287" s="2" t="s">
        <v>357</v>
      </c>
      <c r="C287" s="2" t="s">
        <v>299</v>
      </c>
      <c r="D287" s="2" t="s">
        <v>431</v>
      </c>
      <c r="E287" s="6">
        <v>2600</v>
      </c>
      <c r="F287" s="18">
        <v>0</v>
      </c>
      <c r="G287" s="18">
        <v>0</v>
      </c>
      <c r="H287" s="18">
        <v>8820.82</v>
      </c>
      <c r="I287" s="18">
        <v>3236.78</v>
      </c>
      <c r="J287" s="18">
        <v>0</v>
      </c>
      <c r="K287" s="18">
        <v>0</v>
      </c>
      <c r="L287" s="19">
        <f t="shared" si="12"/>
        <v>12057.6</v>
      </c>
      <c r="M287" s="8"/>
      <c r="N287" s="266"/>
    </row>
    <row r="288" spans="1:14" s="3" customFormat="1" ht="12.2" customHeight="1" x14ac:dyDescent="0.15">
      <c r="A288" s="1" t="s">
        <v>448</v>
      </c>
      <c r="B288" s="2" t="s">
        <v>357</v>
      </c>
      <c r="C288" s="2" t="s">
        <v>300</v>
      </c>
      <c r="D288" s="2" t="s">
        <v>431</v>
      </c>
      <c r="E288" s="6">
        <v>2700</v>
      </c>
      <c r="F288" s="18">
        <v>0</v>
      </c>
      <c r="G288" s="18">
        <v>0</v>
      </c>
      <c r="H288" s="18">
        <v>10135.08</v>
      </c>
      <c r="I288" s="18">
        <v>0</v>
      </c>
      <c r="J288" s="18">
        <v>0</v>
      </c>
      <c r="K288" s="18">
        <v>0</v>
      </c>
      <c r="L288" s="19">
        <f t="shared" si="12"/>
        <v>10135.08</v>
      </c>
      <c r="M288" s="8"/>
      <c r="N288" s="266"/>
    </row>
    <row r="289" spans="1:14" s="3" customFormat="1" ht="12.2" customHeight="1" x14ac:dyDescent="0.15">
      <c r="A289" s="1" t="s">
        <v>449</v>
      </c>
      <c r="B289" s="2" t="s">
        <v>357</v>
      </c>
      <c r="C289" s="2" t="s">
        <v>343</v>
      </c>
      <c r="D289" s="2" t="s">
        <v>431</v>
      </c>
      <c r="E289" s="6">
        <v>2800</v>
      </c>
      <c r="F289" s="18">
        <v>0</v>
      </c>
      <c r="G289" s="18">
        <v>0</v>
      </c>
      <c r="H289" s="18">
        <v>10711.37</v>
      </c>
      <c r="I289" s="18">
        <v>0</v>
      </c>
      <c r="J289" s="18">
        <v>0</v>
      </c>
      <c r="K289" s="18">
        <v>0</v>
      </c>
      <c r="L289" s="19">
        <f>SUM(F289:K289)</f>
        <v>10711.37</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80598.459999999992</v>
      </c>
      <c r="G291" s="42">
        <f t="shared" si="13"/>
        <v>19260.499999999996</v>
      </c>
      <c r="H291" s="42">
        <f t="shared" si="13"/>
        <v>41633.060000000005</v>
      </c>
      <c r="I291" s="42">
        <f t="shared" si="13"/>
        <v>16640.240000000002</v>
      </c>
      <c r="J291" s="42">
        <f t="shared" si="13"/>
        <v>0</v>
      </c>
      <c r="K291" s="42">
        <f t="shared" si="13"/>
        <v>0</v>
      </c>
      <c r="L291" s="41">
        <f t="shared" si="13"/>
        <v>158132.25999999998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80598.459999999992</v>
      </c>
      <c r="G339" s="41">
        <f t="shared" si="20"/>
        <v>19260.499999999996</v>
      </c>
      <c r="H339" s="41">
        <f t="shared" si="20"/>
        <v>41633.060000000005</v>
      </c>
      <c r="I339" s="41">
        <f t="shared" si="20"/>
        <v>16640.240000000002</v>
      </c>
      <c r="J339" s="41">
        <f t="shared" si="20"/>
        <v>0</v>
      </c>
      <c r="K339" s="41">
        <f t="shared" si="20"/>
        <v>0</v>
      </c>
      <c r="L339" s="41">
        <f t="shared" si="20"/>
        <v>158132.25999999998</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80598.459999999992</v>
      </c>
      <c r="G353" s="41">
        <f>G339</f>
        <v>19260.499999999996</v>
      </c>
      <c r="H353" s="41">
        <f>H339</f>
        <v>41633.060000000005</v>
      </c>
      <c r="I353" s="41">
        <f>I339</f>
        <v>16640.240000000002</v>
      </c>
      <c r="J353" s="41">
        <f>J339</f>
        <v>0</v>
      </c>
      <c r="K353" s="47">
        <f>K339+K352</f>
        <v>0</v>
      </c>
      <c r="L353" s="41">
        <f>L339+L352</f>
        <v>158132.25999999998</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35050.629999999997</v>
      </c>
      <c r="G359" s="18">
        <v>5664.22</v>
      </c>
      <c r="H359" s="18">
        <v>9867.8700000000008</v>
      </c>
      <c r="I359" s="18">
        <v>20460.919999999998</v>
      </c>
      <c r="J359" s="18">
        <v>0</v>
      </c>
      <c r="K359" s="18">
        <v>233.33</v>
      </c>
      <c r="L359" s="13">
        <f>SUM(F359:K359)</f>
        <v>71276.97</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35050.629999999997</v>
      </c>
      <c r="G363" s="47">
        <f t="shared" si="22"/>
        <v>5664.22</v>
      </c>
      <c r="H363" s="47">
        <f t="shared" si="22"/>
        <v>9867.8700000000008</v>
      </c>
      <c r="I363" s="47">
        <f t="shared" si="22"/>
        <v>20460.919999999998</v>
      </c>
      <c r="J363" s="47">
        <f t="shared" si="22"/>
        <v>0</v>
      </c>
      <c r="K363" s="47">
        <f t="shared" si="22"/>
        <v>233.33</v>
      </c>
      <c r="L363" s="47">
        <f t="shared" si="22"/>
        <v>71276.97</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f>12318.85+4655.34</f>
        <v>16974.190000000002</v>
      </c>
      <c r="G368" s="18"/>
      <c r="H368" s="18"/>
      <c r="I368" s="56">
        <f>SUM(F368:H368)</f>
        <v>16974.190000000002</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f>2395.47+193.43+897.83</f>
        <v>3486.7299999999996</v>
      </c>
      <c r="G369" s="63"/>
      <c r="H369" s="63"/>
      <c r="I369" s="56">
        <f>SUM(F369:H369)</f>
        <v>3486.7299999999996</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20460.920000000002</v>
      </c>
      <c r="G370" s="47">
        <f>SUM(G368:G369)</f>
        <v>0</v>
      </c>
      <c r="H370" s="47">
        <f>SUM(H368:H369)</f>
        <v>0</v>
      </c>
      <c r="I370" s="47">
        <f>SUM(I368:I369)</f>
        <v>20460.920000000002</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50000</v>
      </c>
      <c r="H397" s="18">
        <v>201.26</v>
      </c>
      <c r="I397" s="18"/>
      <c r="J397" s="24" t="s">
        <v>288</v>
      </c>
      <c r="K397" s="24" t="s">
        <v>288</v>
      </c>
      <c r="L397" s="56">
        <f t="shared" si="26"/>
        <v>50201.26</v>
      </c>
      <c r="M397" s="8"/>
      <c r="N397" s="266"/>
    </row>
    <row r="398" spans="1:14" s="3" customFormat="1" ht="12.2" customHeight="1" x14ac:dyDescent="0.15">
      <c r="A398" s="79" t="s">
        <v>515</v>
      </c>
      <c r="B398" s="2" t="s">
        <v>381</v>
      </c>
      <c r="C398" s="6">
        <v>10</v>
      </c>
      <c r="D398" s="2" t="s">
        <v>432</v>
      </c>
      <c r="E398" s="6"/>
      <c r="F398" s="18"/>
      <c r="G398" s="18"/>
      <c r="H398" s="18">
        <v>22.35</v>
      </c>
      <c r="I398" s="18"/>
      <c r="J398" s="24" t="s">
        <v>288</v>
      </c>
      <c r="K398" s="24" t="s">
        <v>288</v>
      </c>
      <c r="L398" s="56">
        <f t="shared" si="26"/>
        <v>22.35</v>
      </c>
      <c r="M398" s="8"/>
      <c r="N398" s="266"/>
    </row>
    <row r="399" spans="1:14" s="3" customFormat="1" ht="12.2" customHeight="1" x14ac:dyDescent="0.15">
      <c r="A399" s="79" t="s">
        <v>558</v>
      </c>
      <c r="B399" s="2" t="s">
        <v>381</v>
      </c>
      <c r="C399" s="6">
        <v>11</v>
      </c>
      <c r="D399" s="2" t="s">
        <v>432</v>
      </c>
      <c r="E399" s="6"/>
      <c r="F399" s="18"/>
      <c r="G399" s="18"/>
      <c r="H399" s="18">
        <v>23.36</v>
      </c>
      <c r="I399" s="18"/>
      <c r="J399" s="24" t="s">
        <v>288</v>
      </c>
      <c r="K399" s="24" t="s">
        <v>288</v>
      </c>
      <c r="L399" s="56">
        <f t="shared" si="26"/>
        <v>23.36</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SUM(H396:H401)</f>
        <v>246.96999999999997</v>
      </c>
      <c r="I402" s="47">
        <f>SUM(I396:I401)</f>
        <v>0</v>
      </c>
      <c r="J402" s="45" t="s">
        <v>288</v>
      </c>
      <c r="K402" s="45" t="s">
        <v>288</v>
      </c>
      <c r="L402" s="47">
        <f>SUM(L396:L401)</f>
        <v>50246.97</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50000</v>
      </c>
      <c r="H409" s="47">
        <f>H394+H402+H408</f>
        <v>246.96999999999997</v>
      </c>
      <c r="I409" s="47">
        <f>I394+I402+I408</f>
        <v>0</v>
      </c>
      <c r="J409" s="24" t="s">
        <v>288</v>
      </c>
      <c r="K409" s="24" t="s">
        <v>288</v>
      </c>
      <c r="L409" s="47">
        <f>L394+L402+L408</f>
        <v>50246.97</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v>12227.97</v>
      </c>
      <c r="I440" s="56">
        <f t="shared" ref="I440:I446" si="33">SUM(F440:H440)</f>
        <v>12227.97</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v>376133.84</v>
      </c>
      <c r="H443" s="18"/>
      <c r="I443" s="56">
        <f t="shared" si="33"/>
        <v>376133.84</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376133.84</v>
      </c>
      <c r="H447" s="13">
        <f>SUM(H440:H446)</f>
        <v>12227.97</v>
      </c>
      <c r="I447" s="13">
        <f>SUM(I440:I446)</f>
        <v>388361.81</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v>12227.97</v>
      </c>
      <c r="I452" s="56">
        <f>SUM(F452:H452)</f>
        <v>12227.97</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12227.97</v>
      </c>
      <c r="I453" s="72">
        <f>SUM(I449:I452)</f>
        <v>12227.97</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376133.84</v>
      </c>
      <c r="H460" s="18"/>
      <c r="I460" s="56">
        <f t="shared" si="34"/>
        <v>376133.84</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376133.84</v>
      </c>
      <c r="H461" s="83">
        <f>SUM(H455:H460)</f>
        <v>0</v>
      </c>
      <c r="I461" s="83">
        <f>SUM(I455:I460)</f>
        <v>376133.84</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376133.84</v>
      </c>
      <c r="H462" s="42">
        <f>H453+H461</f>
        <v>12227.97</v>
      </c>
      <c r="I462" s="42">
        <f>I453+I461</f>
        <v>388361.81</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370951.98</v>
      </c>
      <c r="G466" s="18">
        <v>0</v>
      </c>
      <c r="H466" s="18">
        <v>0</v>
      </c>
      <c r="I466" s="18"/>
      <c r="J466" s="18">
        <v>325886.87</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5243498.41</v>
      </c>
      <c r="G469" s="18">
        <f t="shared" ref="G469:J469" si="35">G194</f>
        <v>71276.97</v>
      </c>
      <c r="H469" s="18">
        <f t="shared" si="35"/>
        <v>158132.25999999998</v>
      </c>
      <c r="I469" s="18">
        <f t="shared" si="35"/>
        <v>0</v>
      </c>
      <c r="J469" s="18">
        <f t="shared" si="35"/>
        <v>50246.97</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5243498.41</v>
      </c>
      <c r="G471" s="53">
        <f>SUM(G469:G470)</f>
        <v>71276.97</v>
      </c>
      <c r="H471" s="53">
        <f>SUM(H469:H470)</f>
        <v>158132.25999999998</v>
      </c>
      <c r="I471" s="53">
        <f>SUM(I469:I470)</f>
        <v>0</v>
      </c>
      <c r="J471" s="53">
        <f>SUM(J469:J470)</f>
        <v>50246.97</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5123019.0199999996</v>
      </c>
      <c r="G473" s="18">
        <f>L363</f>
        <v>71276.97</v>
      </c>
      <c r="H473" s="18">
        <f>L353</f>
        <v>158132.25999999998</v>
      </c>
      <c r="I473" s="18">
        <f>L383</f>
        <v>0</v>
      </c>
      <c r="J473" s="18">
        <f>L435</f>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5123019.0199999996</v>
      </c>
      <c r="G475" s="53">
        <f>SUM(G473:G474)</f>
        <v>71276.97</v>
      </c>
      <c r="H475" s="53">
        <f>SUM(H473:H474)</f>
        <v>158132.25999999998</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491431.37000000104</v>
      </c>
      <c r="G477" s="53">
        <f>(G466+G471)- G475</f>
        <v>0</v>
      </c>
      <c r="H477" s="53">
        <f>(H466+H471)- H475</f>
        <v>0</v>
      </c>
      <c r="I477" s="53">
        <f>(I466+I471)- I475</f>
        <v>0</v>
      </c>
      <c r="J477" s="53">
        <f>(J466+J471)- J475</f>
        <v>376133.83999999997</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6">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6"/>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6"/>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6"/>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6"/>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6"/>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6"/>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6"/>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302510.53999999998</v>
      </c>
      <c r="G522" s="18">
        <v>161355.12</v>
      </c>
      <c r="H522" s="18">
        <f>256541.24-17379.72-95193</f>
        <v>143968.51999999999</v>
      </c>
      <c r="I522" s="18">
        <v>6277.25</v>
      </c>
      <c r="J522" s="18">
        <v>2782</v>
      </c>
      <c r="K522" s="18">
        <v>0</v>
      </c>
      <c r="L522" s="88">
        <f>SUM(F522:K522)</f>
        <v>616893.42999999993</v>
      </c>
      <c r="N522" s="265"/>
    </row>
    <row r="523" spans="1:14" s="52" customFormat="1" ht="12.2" customHeight="1" x14ac:dyDescent="0.2">
      <c r="A523" s="22" t="s">
        <v>634</v>
      </c>
      <c r="B523" s="105">
        <v>21</v>
      </c>
      <c r="C523" s="115">
        <v>2</v>
      </c>
      <c r="D523" s="2" t="s">
        <v>432</v>
      </c>
      <c r="E523" s="115"/>
      <c r="F523" s="18">
        <v>0</v>
      </c>
      <c r="G523" s="18">
        <v>0</v>
      </c>
      <c r="H523" s="18">
        <f>42207.11+17379.72+95193</f>
        <v>154779.83000000002</v>
      </c>
      <c r="I523" s="18">
        <v>0</v>
      </c>
      <c r="J523" s="18">
        <v>0</v>
      </c>
      <c r="K523" s="18">
        <v>0</v>
      </c>
      <c r="L523" s="88">
        <f>SUM(F523:K523)</f>
        <v>154779.83000000002</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302510.53999999998</v>
      </c>
      <c r="G525" s="108">
        <f t="shared" ref="G525:L525" si="37">SUM(G522:G524)</f>
        <v>161355.12</v>
      </c>
      <c r="H525" s="108">
        <f t="shared" si="37"/>
        <v>298748.34999999998</v>
      </c>
      <c r="I525" s="108">
        <f t="shared" si="37"/>
        <v>6277.25</v>
      </c>
      <c r="J525" s="108">
        <f t="shared" si="37"/>
        <v>2782</v>
      </c>
      <c r="K525" s="108">
        <f t="shared" si="37"/>
        <v>0</v>
      </c>
      <c r="L525" s="89">
        <f t="shared" si="37"/>
        <v>771673.26</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100021.6</v>
      </c>
      <c r="G527" s="18">
        <v>43887.58</v>
      </c>
      <c r="H527" s="18">
        <f>40091.84-706.27-485.98</f>
        <v>38899.589999999997</v>
      </c>
      <c r="I527" s="18">
        <v>3961.52</v>
      </c>
      <c r="J527" s="18">
        <v>0</v>
      </c>
      <c r="K527" s="18">
        <v>0</v>
      </c>
      <c r="L527" s="88">
        <f>SUM(F527:K527)</f>
        <v>186770.28999999998</v>
      </c>
      <c r="M527" s="8"/>
      <c r="N527" s="266"/>
    </row>
    <row r="528" spans="1:14" s="3" customFormat="1" ht="12.2" customHeight="1" x14ac:dyDescent="0.15">
      <c r="A528" s="22" t="s">
        <v>634</v>
      </c>
      <c r="B528" s="105">
        <v>21</v>
      </c>
      <c r="C528" s="115">
        <v>6</v>
      </c>
      <c r="D528" s="2" t="s">
        <v>432</v>
      </c>
      <c r="E528" s="115"/>
      <c r="F528" s="18"/>
      <c r="G528" s="18"/>
      <c r="H528" s="18">
        <f>3747.69+706.27+485.98</f>
        <v>4939.9400000000005</v>
      </c>
      <c r="I528" s="18"/>
      <c r="J528" s="18"/>
      <c r="K528" s="18"/>
      <c r="L528" s="88">
        <f>SUM(F528:K528)</f>
        <v>4939.9400000000005</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100021.6</v>
      </c>
      <c r="G530" s="89">
        <f t="shared" ref="G530:L530" si="38">SUM(G527:G529)</f>
        <v>43887.58</v>
      </c>
      <c r="H530" s="89">
        <f t="shared" si="38"/>
        <v>43839.53</v>
      </c>
      <c r="I530" s="89">
        <f t="shared" si="38"/>
        <v>3961.52</v>
      </c>
      <c r="J530" s="89">
        <f t="shared" si="38"/>
        <v>0</v>
      </c>
      <c r="K530" s="89">
        <f t="shared" si="38"/>
        <v>0</v>
      </c>
      <c r="L530" s="89">
        <f t="shared" si="38"/>
        <v>191710.22999999998</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6604.52</v>
      </c>
      <c r="I532" s="18">
        <v>595.53</v>
      </c>
      <c r="J532" s="18"/>
      <c r="K532" s="18"/>
      <c r="L532" s="88">
        <f>SUM(F532:K532)</f>
        <v>7200.05</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v>0</v>
      </c>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9">SUM(G532:G534)</f>
        <v>0</v>
      </c>
      <c r="H535" s="89">
        <f t="shared" si="39"/>
        <v>6604.52</v>
      </c>
      <c r="I535" s="89">
        <f t="shared" si="39"/>
        <v>595.53</v>
      </c>
      <c r="J535" s="89">
        <f t="shared" si="39"/>
        <v>0</v>
      </c>
      <c r="K535" s="89">
        <f t="shared" si="39"/>
        <v>0</v>
      </c>
      <c r="L535" s="89">
        <f t="shared" si="39"/>
        <v>7200.05</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0</v>
      </c>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0</v>
      </c>
      <c r="I540" s="89">
        <f t="shared" si="40"/>
        <v>0</v>
      </c>
      <c r="J540" s="89">
        <f t="shared" si="40"/>
        <v>0</v>
      </c>
      <c r="K540" s="89">
        <f t="shared" si="40"/>
        <v>0</v>
      </c>
      <c r="L540" s="89">
        <f t="shared" si="40"/>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38460.239999999998</v>
      </c>
      <c r="I542" s="18"/>
      <c r="J542" s="18"/>
      <c r="K542" s="18"/>
      <c r="L542" s="88">
        <f>SUM(F542:K542)</f>
        <v>38460.239999999998</v>
      </c>
      <c r="M542" s="8"/>
      <c r="N542" s="266"/>
    </row>
    <row r="543" spans="1:14" s="3" customFormat="1" ht="12.2" customHeight="1" x14ac:dyDescent="0.15">
      <c r="A543" s="22" t="s">
        <v>634</v>
      </c>
      <c r="B543" s="105">
        <v>21</v>
      </c>
      <c r="C543" s="105">
        <v>18</v>
      </c>
      <c r="D543" s="2" t="s">
        <v>432</v>
      </c>
      <c r="E543" s="105"/>
      <c r="F543" s="18"/>
      <c r="G543" s="18"/>
      <c r="H543" s="18">
        <v>20311.66</v>
      </c>
      <c r="I543" s="18"/>
      <c r="J543" s="18"/>
      <c r="K543" s="18"/>
      <c r="L543" s="88">
        <f>SUM(F543:K543)</f>
        <v>20311.66</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1">SUM(G542:G544)</f>
        <v>0</v>
      </c>
      <c r="H545" s="193">
        <f t="shared" si="41"/>
        <v>58771.899999999994</v>
      </c>
      <c r="I545" s="193">
        <f t="shared" si="41"/>
        <v>0</v>
      </c>
      <c r="J545" s="193">
        <f t="shared" si="41"/>
        <v>0</v>
      </c>
      <c r="K545" s="193">
        <f t="shared" si="41"/>
        <v>0</v>
      </c>
      <c r="L545" s="193">
        <f t="shared" si="41"/>
        <v>58771.899999999994</v>
      </c>
      <c r="M545" s="8"/>
      <c r="N545" s="266"/>
    </row>
    <row r="546" spans="1:14" s="3" customFormat="1" ht="12.2" customHeight="1" thickTop="1" x14ac:dyDescent="0.15">
      <c r="A546" s="98" t="s">
        <v>72</v>
      </c>
      <c r="B546" s="107">
        <v>21</v>
      </c>
      <c r="C546" s="107">
        <v>21</v>
      </c>
      <c r="D546" s="158" t="s">
        <v>432</v>
      </c>
      <c r="E546" s="107"/>
      <c r="F546" s="89">
        <f>F525+F530+F535+F540+F545</f>
        <v>402532.14</v>
      </c>
      <c r="G546" s="89">
        <f t="shared" ref="G546:L546" si="42">G525+G530+G535+G540+G545</f>
        <v>205242.7</v>
      </c>
      <c r="H546" s="89">
        <f t="shared" si="42"/>
        <v>407964.30000000005</v>
      </c>
      <c r="I546" s="89">
        <f t="shared" si="42"/>
        <v>10834.300000000001</v>
      </c>
      <c r="J546" s="89">
        <f t="shared" si="42"/>
        <v>2782</v>
      </c>
      <c r="K546" s="89">
        <f t="shared" si="42"/>
        <v>0</v>
      </c>
      <c r="L546" s="89">
        <f t="shared" si="42"/>
        <v>1029355.4400000001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616893.42999999993</v>
      </c>
      <c r="G550" s="87">
        <f>L527</f>
        <v>186770.28999999998</v>
      </c>
      <c r="H550" s="87">
        <f>L532</f>
        <v>7200.05</v>
      </c>
      <c r="I550" s="87">
        <f>L537</f>
        <v>0</v>
      </c>
      <c r="J550" s="87">
        <f>L542</f>
        <v>38460.239999999998</v>
      </c>
      <c r="K550" s="87">
        <f>SUM(F550:J550)</f>
        <v>849324.01</v>
      </c>
      <c r="L550" s="24" t="s">
        <v>288</v>
      </c>
      <c r="M550" s="8"/>
      <c r="N550" s="266"/>
    </row>
    <row r="551" spans="1:14" s="3" customFormat="1" ht="12.2" customHeight="1" x14ac:dyDescent="0.15">
      <c r="A551" s="22" t="s">
        <v>634</v>
      </c>
      <c r="B551" s="75">
        <v>21</v>
      </c>
      <c r="C551" s="75">
        <v>23</v>
      </c>
      <c r="D551" s="2" t="s">
        <v>432</v>
      </c>
      <c r="E551" s="75"/>
      <c r="F551" s="87">
        <f>L523</f>
        <v>154779.83000000002</v>
      </c>
      <c r="G551" s="87">
        <f>L528</f>
        <v>4939.9400000000005</v>
      </c>
      <c r="H551" s="87">
        <f>L533</f>
        <v>0</v>
      </c>
      <c r="I551" s="87">
        <f>L538</f>
        <v>0</v>
      </c>
      <c r="J551" s="87">
        <f>L543</f>
        <v>20311.66</v>
      </c>
      <c r="K551" s="87">
        <f>SUM(F551:J551)</f>
        <v>180031.43000000002</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3">SUM(F550:F552)</f>
        <v>771673.26</v>
      </c>
      <c r="G553" s="89">
        <f t="shared" si="43"/>
        <v>191710.22999999998</v>
      </c>
      <c r="H553" s="89">
        <f t="shared" si="43"/>
        <v>7200.05</v>
      </c>
      <c r="I553" s="89">
        <f t="shared" si="43"/>
        <v>0</v>
      </c>
      <c r="J553" s="89">
        <f t="shared" si="43"/>
        <v>58771.899999999994</v>
      </c>
      <c r="K553" s="89">
        <f t="shared" si="43"/>
        <v>1029355.4400000001</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5">SUM(F563:F565)</f>
        <v>0</v>
      </c>
      <c r="G566" s="89">
        <f t="shared" si="45"/>
        <v>0</v>
      </c>
      <c r="H566" s="89">
        <f t="shared" si="45"/>
        <v>0</v>
      </c>
      <c r="I566" s="89">
        <f t="shared" si="45"/>
        <v>0</v>
      </c>
      <c r="J566" s="89">
        <f t="shared" si="45"/>
        <v>0</v>
      </c>
      <c r="K566" s="89">
        <f t="shared" si="45"/>
        <v>0</v>
      </c>
      <c r="L566" s="89">
        <f t="shared" si="45"/>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6">SUM(G568:G570)</f>
        <v>0</v>
      </c>
      <c r="H571" s="193">
        <f t="shared" si="46"/>
        <v>0</v>
      </c>
      <c r="I571" s="193">
        <f t="shared" si="46"/>
        <v>0</v>
      </c>
      <c r="J571" s="193">
        <f t="shared" si="46"/>
        <v>0</v>
      </c>
      <c r="K571" s="193">
        <f t="shared" si="46"/>
        <v>0</v>
      </c>
      <c r="L571" s="193">
        <f t="shared" si="46"/>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7">G561+G566+G571</f>
        <v>0</v>
      </c>
      <c r="H572" s="89">
        <f t="shared" si="47"/>
        <v>0</v>
      </c>
      <c r="I572" s="89">
        <f t="shared" si="47"/>
        <v>0</v>
      </c>
      <c r="J572" s="89">
        <f t="shared" si="47"/>
        <v>0</v>
      </c>
      <c r="K572" s="89">
        <f t="shared" si="47"/>
        <v>0</v>
      </c>
      <c r="L572" s="89">
        <f t="shared" si="47"/>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f>1043138.19+2573.45-33567.44</f>
        <v>1012144.2</v>
      </c>
      <c r="H576" s="18"/>
      <c r="I576" s="87">
        <f>SUM(F576:H576)</f>
        <v>1012144.2</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f>12.87+2562.84+21210.36</f>
        <v>23786.07</v>
      </c>
      <c r="G580" s="18"/>
      <c r="H580" s="18"/>
      <c r="I580" s="87">
        <f t="shared" si="48"/>
        <v>23786.07</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8"/>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v>95193</v>
      </c>
      <c r="G584" s="18">
        <v>95193</v>
      </c>
      <c r="H584" s="18"/>
      <c r="I584" s="87">
        <f t="shared" si="48"/>
        <v>190386</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8"/>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97218.98-10135.08</f>
        <v>87083.9</v>
      </c>
      <c r="I592" s="18">
        <v>20901.04</v>
      </c>
      <c r="J592" s="18"/>
      <c r="K592" s="104">
        <f t="shared" ref="K592:K598" si="49">SUM(H592:J592)</f>
        <v>107984.94</v>
      </c>
      <c r="L592" s="24" t="s">
        <v>288</v>
      </c>
      <c r="M592" s="8"/>
      <c r="N592" s="266"/>
    </row>
    <row r="593" spans="1:14" s="3" customFormat="1" ht="12.2" customHeight="1" x14ac:dyDescent="0.15">
      <c r="A593" s="3" t="s">
        <v>638</v>
      </c>
      <c r="B593" s="75">
        <v>23</v>
      </c>
      <c r="C593" s="75">
        <v>2</v>
      </c>
      <c r="D593" s="2" t="s">
        <v>432</v>
      </c>
      <c r="E593" s="75"/>
      <c r="F593" s="102">
        <v>2722</v>
      </c>
      <c r="G593" s="103" t="s">
        <v>97</v>
      </c>
      <c r="H593" s="18">
        <v>38460.239999999998</v>
      </c>
      <c r="I593" s="18">
        <v>20311.66</v>
      </c>
      <c r="J593" s="18"/>
      <c r="K593" s="104">
        <f t="shared" si="49"/>
        <v>58771.899999999994</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9"/>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9"/>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299.58999999999997</v>
      </c>
      <c r="I596" s="18"/>
      <c r="J596" s="18"/>
      <c r="K596" s="104">
        <f t="shared" si="49"/>
        <v>299.58999999999997</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9"/>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125843.72999999998</v>
      </c>
      <c r="I599" s="108">
        <f>SUM(I592:I598)</f>
        <v>41212.699999999997</v>
      </c>
      <c r="J599" s="108">
        <f>SUM(J592:J598)</f>
        <v>0</v>
      </c>
      <c r="K599" s="108">
        <f>SUM(K592:K598)</f>
        <v>167056.43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v>0</v>
      </c>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v>0</v>
      </c>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20424.48</v>
      </c>
      <c r="I605" s="18"/>
      <c r="J605" s="18"/>
      <c r="K605" s="104">
        <f>SUM(H605:J605)</f>
        <v>20424.48</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20424.48</v>
      </c>
      <c r="I606" s="108">
        <f>SUM(I603:I605)</f>
        <v>0</v>
      </c>
      <c r="J606" s="108">
        <f>SUM(J603:J605)</f>
        <v>0</v>
      </c>
      <c r="K606" s="108">
        <f>SUM(K603:K605)</f>
        <v>20424.48</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50">SUM(F612:F614)</f>
        <v>0</v>
      </c>
      <c r="G615" s="108">
        <f t="shared" si="50"/>
        <v>0</v>
      </c>
      <c r="H615" s="108">
        <f t="shared" si="50"/>
        <v>0</v>
      </c>
      <c r="I615" s="108">
        <f t="shared" si="50"/>
        <v>0</v>
      </c>
      <c r="J615" s="108">
        <f t="shared" si="50"/>
        <v>0</v>
      </c>
      <c r="K615" s="108">
        <f t="shared" si="50"/>
        <v>0</v>
      </c>
      <c r="L615" s="89">
        <f t="shared" si="50"/>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691655.20000000007</v>
      </c>
      <c r="H618" s="109">
        <f>SUM(F52)</f>
        <v>691655.2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15835.52</v>
      </c>
      <c r="H619" s="109">
        <f>SUM(G52)</f>
        <v>15835.52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21330.25</v>
      </c>
      <c r="H620" s="109">
        <f>SUM(H52)</f>
        <v>21330.25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388361.81</v>
      </c>
      <c r="H622" s="109">
        <f>SUM(J52)</f>
        <v>388361.81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491431.37</v>
      </c>
      <c r="H623" s="109">
        <f>F477</f>
        <v>491431.37000000104</v>
      </c>
      <c r="I623" s="121" t="s">
        <v>101</v>
      </c>
      <c r="J623" s="109">
        <f t="shared" ref="J623:J656" si="51">G623-H623</f>
        <v>-1.0477378964424133E-9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376133.84</v>
      </c>
      <c r="H627" s="109">
        <f>J477</f>
        <v>376133.83999999997</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5243498.41</v>
      </c>
      <c r="H628" s="104">
        <f>SUM(F469)</f>
        <v>5243498.41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71276.97</v>
      </c>
      <c r="H629" s="104">
        <f>SUM(G469)</f>
        <v>71276.97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158132.25999999998</v>
      </c>
      <c r="H630" s="104">
        <f>SUM(H469)</f>
        <v>158132.25999999998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50246.97</v>
      </c>
      <c r="H632" s="104">
        <f>SUM(J469)</f>
        <v>50246.97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5123019.0199999996</v>
      </c>
      <c r="H633" s="104">
        <f>SUM(F473)</f>
        <v>5123019.0199999996</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158132.25999999998</v>
      </c>
      <c r="H634" s="104">
        <f>SUM(H473)</f>
        <v>158132.25999999998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20460.919999999998</v>
      </c>
      <c r="H635" s="104">
        <f>I370</f>
        <v>20460.920000000002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71276.97</v>
      </c>
      <c r="H636" s="104">
        <f>SUM(G473)</f>
        <v>71276.97</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50246.97</v>
      </c>
      <c r="H638" s="164">
        <f>SUM(J469)</f>
        <v>50246.97</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376133.84</v>
      </c>
      <c r="H641" s="104">
        <f>SUM(G462)</f>
        <v>376133.84</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12227.97</v>
      </c>
      <c r="H642" s="104">
        <f>SUM(H462)</f>
        <v>12227.97</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388361.81</v>
      </c>
      <c r="H643" s="104">
        <f>SUM(I462)</f>
        <v>388361.81</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246.97</v>
      </c>
      <c r="H645" s="104">
        <f>H409</f>
        <v>246.96999999999997</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50246.97</v>
      </c>
      <c r="H647" s="104">
        <f>L409</f>
        <v>50246.97</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167056.43</v>
      </c>
      <c r="H648" s="104">
        <f>L209+L227+L245</f>
        <v>167056.43</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20424.48</v>
      </c>
      <c r="H649" s="104">
        <f>(J258+J339)-(J256+J337)</f>
        <v>20424.48</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125843.73</v>
      </c>
      <c r="H650" s="104">
        <f>H599</f>
        <v>125843.72999999998</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41212.699999999997</v>
      </c>
      <c r="H651" s="104">
        <f>I599</f>
        <v>41212.699999999997</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27779.360000000001</v>
      </c>
      <c r="H653" s="104">
        <f>K264+K346</f>
        <v>27779.360000000001</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4061572.2199999993</v>
      </c>
      <c r="G661" s="19">
        <f>(L230+L310+L360)</f>
        <v>1213076.67</v>
      </c>
      <c r="H661" s="19">
        <f>(L248+L329+L361)</f>
        <v>0</v>
      </c>
      <c r="I661" s="19">
        <f>SUM(F661:H661)</f>
        <v>5274648.8899999987</v>
      </c>
      <c r="J661" s="13"/>
      <c r="K661" s="13"/>
      <c r="L661" s="13"/>
      <c r="M661" s="9"/>
    </row>
    <row r="662" spans="1:13" s="3" customFormat="1" ht="12.2" customHeight="1" x14ac:dyDescent="0.2">
      <c r="A662" s="1" t="s">
        <v>127</v>
      </c>
      <c r="F662" s="19">
        <f>(L359/IF(SUM(L359:L361)=0,1,SUM(L359:L361))*(SUM(G97:G110)))</f>
        <v>4758.04</v>
      </c>
      <c r="G662" s="19">
        <f>(L360/IF(SUM(L359:L361)=0,1,SUM(L359:L361))*(SUM(G97:G110)))</f>
        <v>0</v>
      </c>
      <c r="H662" s="19">
        <f>(L361/IF(SUM(L359:L361)=0,1,SUM(L359:L361))*(SUM(G97:G110)))</f>
        <v>0</v>
      </c>
      <c r="I662" s="19">
        <f>SUM(F662:H662)</f>
        <v>4758.04</v>
      </c>
      <c r="J662"/>
      <c r="K662" s="13"/>
      <c r="L662" s="13"/>
      <c r="M662" s="8"/>
    </row>
    <row r="663" spans="1:13" s="3" customFormat="1" ht="12.2" customHeight="1" x14ac:dyDescent="0.2">
      <c r="A663" s="1" t="s">
        <v>128</v>
      </c>
      <c r="F663" s="19">
        <f>(L209+L288)-(J209+J288)</f>
        <v>135978.81</v>
      </c>
      <c r="G663" s="19">
        <f>(L227+L307)-(J227+J307)</f>
        <v>41212.699999999997</v>
      </c>
      <c r="H663" s="19">
        <f>(L245+L326)-(J245+J326)</f>
        <v>0</v>
      </c>
      <c r="I663" s="19">
        <f>SUM(F663:H663)</f>
        <v>177191.51</v>
      </c>
      <c r="J663"/>
      <c r="K663" s="13"/>
      <c r="L663" s="13"/>
      <c r="M663" s="9"/>
    </row>
    <row r="664" spans="1:13" s="3" customFormat="1" ht="12.2" customHeight="1" x14ac:dyDescent="0.15">
      <c r="A664" s="198" t="s">
        <v>129</v>
      </c>
      <c r="B664" s="169"/>
      <c r="C664" s="169"/>
      <c r="D664" s="169"/>
      <c r="E664" s="169"/>
      <c r="F664" s="199">
        <f>SUM(F576:F588)+SUM(H603:H605)+SUM(L612)</f>
        <v>139403.55000000002</v>
      </c>
      <c r="G664" s="199">
        <f>SUM(G576:G588)+SUM(I603:I605)+L613</f>
        <v>1107337.2</v>
      </c>
      <c r="H664" s="199">
        <f>SUM(H576:H588)+SUM(J603:J605)+L614</f>
        <v>0</v>
      </c>
      <c r="I664" s="19">
        <f>SUM(F664:H664)</f>
        <v>1246740.75</v>
      </c>
      <c r="J664" s="13"/>
      <c r="K664" s="13"/>
      <c r="L664" s="13"/>
      <c r="M664" s="9"/>
    </row>
    <row r="665" spans="1:13" s="3" customFormat="1" ht="12.2" customHeight="1" x14ac:dyDescent="0.15">
      <c r="A665" s="1" t="s">
        <v>130</v>
      </c>
      <c r="F665" s="19">
        <f>F661-SUM(F662:F664)</f>
        <v>3781431.8199999994</v>
      </c>
      <c r="G665" s="19">
        <f>G661-SUM(G662:G664)</f>
        <v>64526.770000000019</v>
      </c>
      <c r="H665" s="19">
        <f>H661-SUM(H662:H664)</f>
        <v>0</v>
      </c>
      <c r="I665" s="19">
        <f>I661-SUM(I662:I664)</f>
        <v>3845958.5899999989</v>
      </c>
      <c r="J665" s="13"/>
      <c r="K665" s="13"/>
      <c r="L665" s="13"/>
      <c r="M665" s="8"/>
    </row>
    <row r="666" spans="1:13" s="3" customFormat="1" ht="12.2" customHeight="1" x14ac:dyDescent="0.2">
      <c r="A666" s="1" t="s">
        <v>131</v>
      </c>
      <c r="F666" s="246">
        <v>203.09</v>
      </c>
      <c r="G666" s="247"/>
      <c r="H666" s="247"/>
      <c r="I666" s="19">
        <f>SUM(F666:H666)</f>
        <v>203.09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18619.490000000002</v>
      </c>
      <c r="G668" s="19" t="e">
        <f>ROUND(G665/G666,2)</f>
        <v>#DIV/0!</v>
      </c>
      <c r="H668" s="19" t="e">
        <f>ROUND(H665/H666,2)</f>
        <v>#DIV/0!</v>
      </c>
      <c r="I668" s="19">
        <f>ROUND(I665/I666,2)</f>
        <v>18937.21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-64526.77</v>
      </c>
      <c r="H670" s="18"/>
      <c r="I670" s="19">
        <f>SUM(F670:H670)</f>
        <v>-64526.77</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18619.490000000002</v>
      </c>
      <c r="G673" s="19" t="e">
        <f>ROUND((G665+G670)/(G666+G671),2)</f>
        <v>#DIV/0!</v>
      </c>
      <c r="H673" s="19" t="e">
        <f>ROUND((H665+H670)/(H666+H671),2)</f>
        <v>#DIV/0!</v>
      </c>
      <c r="I673" s="19">
        <f>ROUND((I665+I670)/(I666+I671),2)</f>
        <v>18619.490000000002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7" zoomScaleNormal="100" workbookViewId="0">
      <selection activeCell="E22" sqref="E22"/>
    </sheetView>
  </sheetViews>
  <sheetFormatPr defaultColWidth="9.33203125"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10135.08</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50800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50800</v>
      </c>
      <c r="F22" s="348"/>
    </row>
    <row r="23" spans="2:8" x14ac:dyDescent="0.25">
      <c r="B23" s="348"/>
      <c r="C23" s="348"/>
      <c r="D23" s="348"/>
      <c r="E23" s="348"/>
      <c r="F23" s="348"/>
    </row>
    <row r="24" spans="2:8" ht="26.25" customHeight="1" x14ac:dyDescent="0.25">
      <c r="B24" s="348"/>
      <c r="C24" s="350" t="s">
        <v>1661</v>
      </c>
      <c r="D24" s="348"/>
      <c r="E24" s="343">
        <v>23883.34</v>
      </c>
      <c r="F24" s="348"/>
    </row>
    <row r="25" spans="2:8" ht="18" x14ac:dyDescent="0.25">
      <c r="B25" s="348"/>
      <c r="C25" s="351"/>
      <c r="D25" s="348"/>
      <c r="E25" s="348"/>
      <c r="F25" s="348"/>
    </row>
    <row r="26" spans="2:8" ht="27.75" customHeight="1" x14ac:dyDescent="0.25">
      <c r="B26" s="348"/>
      <c r="C26" s="350" t="s">
        <v>1662</v>
      </c>
      <c r="D26" s="348"/>
      <c r="E26" s="343">
        <f>10135.08+26916.66</f>
        <v>37051.74</v>
      </c>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c r="F30" s="348"/>
    </row>
    <row r="31" spans="2:8" x14ac:dyDescent="0.25">
      <c r="B31" s="348"/>
      <c r="C31" s="348"/>
      <c r="D31" s="348"/>
      <c r="E31" s="348"/>
      <c r="F31" s="348"/>
      <c r="H31" s="360"/>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3" t="str">
        <f>'DOE25'!A2</f>
        <v>Mont Vernon School District</v>
      </c>
      <c r="C5" s="364"/>
      <c r="D5" s="364"/>
      <c r="E5" s="364"/>
      <c r="F5" s="364"/>
    </row>
    <row r="8" spans="1:9" ht="18" x14ac:dyDescent="0.25">
      <c r="A8" s="319" t="s">
        <v>1576</v>
      </c>
      <c r="F8" s="326" t="s">
        <v>1594</v>
      </c>
    </row>
    <row r="9" spans="1:9" ht="15" x14ac:dyDescent="0.2">
      <c r="A9" s="317" t="s">
        <v>1577</v>
      </c>
      <c r="B9" s="320">
        <f>'DOE25'!G97</f>
        <v>4710.18</v>
      </c>
      <c r="F9" s="317" t="s">
        <v>1590</v>
      </c>
    </row>
    <row r="10" spans="1:9" ht="15" x14ac:dyDescent="0.2">
      <c r="A10" s="317" t="s">
        <v>1578</v>
      </c>
      <c r="B10" s="320">
        <f>'DOE25'!G112-'DOE25'!G97</f>
        <v>47.859999999999673</v>
      </c>
      <c r="F10" s="317" t="s">
        <v>1591</v>
      </c>
    </row>
    <row r="11" spans="1:9" ht="15" x14ac:dyDescent="0.2">
      <c r="A11" s="317" t="s">
        <v>1579</v>
      </c>
      <c r="B11" s="320">
        <f>'DOE25'!G140</f>
        <v>771.24</v>
      </c>
      <c r="F11" s="317" t="s">
        <v>1592</v>
      </c>
    </row>
    <row r="12" spans="1:9" ht="15" x14ac:dyDescent="0.2">
      <c r="A12" s="317" t="s">
        <v>1580</v>
      </c>
      <c r="B12" s="320">
        <f>'DOE25'!G170</f>
        <v>37968.33</v>
      </c>
      <c r="F12" s="317" t="s">
        <v>1593</v>
      </c>
    </row>
    <row r="13" spans="1:9" ht="15" x14ac:dyDescent="0.2">
      <c r="A13" s="317" t="s">
        <v>1581</v>
      </c>
      <c r="B13" s="320">
        <f>'DOE25'!G193-'DOE25'!G180</f>
        <v>0</v>
      </c>
      <c r="F13" s="317" t="s">
        <v>1603</v>
      </c>
    </row>
    <row r="14" spans="1:9" ht="18" x14ac:dyDescent="0.25">
      <c r="A14" s="319" t="s">
        <v>732</v>
      </c>
      <c r="B14" s="321">
        <f>SUM(B9:B13)</f>
        <v>43497.61</v>
      </c>
    </row>
    <row r="16" spans="1:9" ht="18" x14ac:dyDescent="0.25">
      <c r="A16" s="319" t="s">
        <v>786</v>
      </c>
      <c r="F16" s="326" t="s">
        <v>1595</v>
      </c>
    </row>
    <row r="17" spans="1:6" ht="15" x14ac:dyDescent="0.2">
      <c r="A17" s="317" t="s">
        <v>1582</v>
      </c>
      <c r="B17" s="320">
        <f>'DOE25'!L363-'DOE25'!L362</f>
        <v>71276.97</v>
      </c>
      <c r="F17" s="317" t="s">
        <v>1596</v>
      </c>
    </row>
    <row r="18" spans="1:6" ht="15" x14ac:dyDescent="0.2">
      <c r="A18" s="317" t="s">
        <v>1583</v>
      </c>
      <c r="B18" s="330"/>
      <c r="F18" s="326" t="s">
        <v>1620</v>
      </c>
    </row>
    <row r="19" spans="1:6" ht="18" x14ac:dyDescent="0.25">
      <c r="A19" s="319" t="s">
        <v>725</v>
      </c>
      <c r="B19" s="321">
        <f>SUM(B17:B18)</f>
        <v>71276.97</v>
      </c>
    </row>
    <row r="21" spans="1:6" ht="18.75" thickBot="1" x14ac:dyDescent="0.3">
      <c r="A21" s="319" t="s">
        <v>1584</v>
      </c>
    </row>
    <row r="22" spans="1:6" ht="18.75" thickTop="1" x14ac:dyDescent="0.25">
      <c r="A22" s="319" t="s">
        <v>1585</v>
      </c>
      <c r="B22" s="325">
        <f>B14-B19</f>
        <v>-27779.360000000001</v>
      </c>
      <c r="F22" s="317" t="s">
        <v>1597</v>
      </c>
    </row>
    <row r="26" spans="1:6" ht="18" x14ac:dyDescent="0.25">
      <c r="A26" s="319" t="s">
        <v>186</v>
      </c>
    </row>
    <row r="27" spans="1:6" ht="15" x14ac:dyDescent="0.2">
      <c r="A27" s="317" t="s">
        <v>1586</v>
      </c>
      <c r="B27" s="320">
        <f>'DOE25'!G180</f>
        <v>27779.360000000001</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v>4261.59</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view="pageLayout" zoomScaleNormal="100" workbookViewId="0">
      <selection activeCell="B1" sqref="B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Mont Vernon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1187463.21</v>
      </c>
      <c r="C9" s="229">
        <f>'DOE25'!G198+'DOE25'!G216+'DOE25'!G234+'DOE25'!G277+'DOE25'!G296+'DOE25'!G315</f>
        <v>470855.58</v>
      </c>
    </row>
    <row r="10" spans="1:3" x14ac:dyDescent="0.2">
      <c r="A10" t="s">
        <v>775</v>
      </c>
      <c r="B10" s="240">
        <v>1076153.6100000001</v>
      </c>
      <c r="C10" s="240">
        <f>(B10/B9)*C9</f>
        <v>426718.84731960989</v>
      </c>
    </row>
    <row r="11" spans="1:3" x14ac:dyDescent="0.2">
      <c r="A11" t="s">
        <v>776</v>
      </c>
      <c r="B11" s="240">
        <v>35804.6</v>
      </c>
      <c r="C11" s="240">
        <f>(B11/B9)*C9</f>
        <v>14197.320437125796</v>
      </c>
    </row>
    <row r="12" spans="1:3" x14ac:dyDescent="0.2">
      <c r="A12" t="s">
        <v>777</v>
      </c>
      <c r="B12" s="240">
        <v>75505</v>
      </c>
      <c r="C12" s="240">
        <f>(B12/B9)*C9</f>
        <v>29939.412243264363</v>
      </c>
    </row>
    <row r="13" spans="1:3" x14ac:dyDescent="0.2">
      <c r="A13" t="str">
        <f>IF(B9=B13,IF(C9=C13,"Check Total OK","Check Total Error"),"Check Total Error")</f>
        <v>Check Total OK</v>
      </c>
      <c r="B13" s="231">
        <f>SUM(B10:B12)</f>
        <v>1187463.2100000002</v>
      </c>
      <c r="C13" s="231">
        <f>SUM(C10:C12)</f>
        <v>470855.58000000007</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302510.53999999998</v>
      </c>
      <c r="C18" s="229">
        <f>'DOE25'!G199+'DOE25'!G217+'DOE25'!G235+'DOE25'!G278+'DOE25'!G297+'DOE25'!G316</f>
        <v>161355.12</v>
      </c>
    </row>
    <row r="19" spans="1:3" x14ac:dyDescent="0.2">
      <c r="A19" t="s">
        <v>775</v>
      </c>
      <c r="B19" s="240">
        <v>202239.22</v>
      </c>
      <c r="C19" s="240">
        <f>(B19/B18)*C18</f>
        <v>107871.7244424158</v>
      </c>
    </row>
    <row r="20" spans="1:3" x14ac:dyDescent="0.2">
      <c r="A20" t="s">
        <v>776</v>
      </c>
      <c r="B20" s="240">
        <v>83990.27</v>
      </c>
      <c r="C20" s="240">
        <f>(B20/B18)*C18</f>
        <v>44799.298876271889</v>
      </c>
    </row>
    <row r="21" spans="1:3" x14ac:dyDescent="0.2">
      <c r="A21" t="s">
        <v>777</v>
      </c>
      <c r="B21" s="240">
        <v>16281.05</v>
      </c>
      <c r="C21" s="240">
        <f>(B21/B18)*C18</f>
        <v>8684.0966813123268</v>
      </c>
    </row>
    <row r="22" spans="1:3" x14ac:dyDescent="0.2">
      <c r="A22" t="str">
        <f>IF(B18=B22,IF(C18=C22,"Check Total OK","Check Total Error"),"Check Total Error")</f>
        <v>Check Total OK</v>
      </c>
      <c r="B22" s="231">
        <f>SUM(B19:B21)</f>
        <v>302510.53999999998</v>
      </c>
      <c r="C22" s="231">
        <f>SUM(C19:C21)</f>
        <v>161355.12000000002</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6400</v>
      </c>
      <c r="C36" s="235">
        <f>'DOE25'!G201+'DOE25'!G219+'DOE25'!G237+'DOE25'!G280+'DOE25'!G299+'DOE25'!G318</f>
        <v>1477.33</v>
      </c>
    </row>
    <row r="37" spans="1:3" x14ac:dyDescent="0.2">
      <c r="A37" t="s">
        <v>775</v>
      </c>
      <c r="B37" s="240">
        <v>6400</v>
      </c>
      <c r="C37" s="240">
        <v>1477.33</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6400</v>
      </c>
      <c r="C40" s="231">
        <f>SUM(C37:C39)</f>
        <v>1477.33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FY2020-2021</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Mont Vernon School District</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3440435.2499999991</v>
      </c>
      <c r="D5" s="20">
        <f>SUM('DOE25'!L198:L201)+SUM('DOE25'!L216:L219)+SUM('DOE25'!L234:L237)-F5-G5-H5</f>
        <v>3424653.9999999991</v>
      </c>
      <c r="E5" s="243"/>
      <c r="F5" s="244"/>
      <c r="G5" s="53">
        <f>SUM('DOE25'!J198:J201)+SUM('DOE25'!J216:J219)+SUM('DOE25'!J234:J237)</f>
        <v>15781.25</v>
      </c>
      <c r="H5" s="53">
        <f>SUM('DOE25'!K198:K201)+SUM('DOE25'!K216:K219)+SUM('DOE25'!K234:K237)</f>
        <v>0</v>
      </c>
      <c r="I5" s="256"/>
    </row>
    <row r="6" spans="1:9" x14ac:dyDescent="0.2">
      <c r="A6" s="32">
        <v>2100</v>
      </c>
      <c r="B6" t="s">
        <v>796</v>
      </c>
      <c r="C6" s="275">
        <f t="shared" si="0"/>
        <v>379288.19</v>
      </c>
      <c r="D6" s="20">
        <f>'DOE25'!L203+'DOE25'!L221+'DOE25'!L239-F6-G6-H6</f>
        <v>379288.19</v>
      </c>
      <c r="E6" s="243"/>
      <c r="F6" s="244"/>
      <c r="G6" s="53">
        <f>'DOE25'!J203+'DOE25'!J221+'DOE25'!J239</f>
        <v>0</v>
      </c>
      <c r="H6" s="53">
        <f>'DOE25'!K203+'DOE25'!K221+'DOE25'!K239</f>
        <v>0</v>
      </c>
      <c r="I6" s="256"/>
    </row>
    <row r="7" spans="1:9" x14ac:dyDescent="0.2">
      <c r="A7" s="32">
        <v>2200</v>
      </c>
      <c r="B7" t="s">
        <v>821</v>
      </c>
      <c r="C7" s="275">
        <f t="shared" si="0"/>
        <v>119017.95</v>
      </c>
      <c r="D7" s="20">
        <f>'DOE25'!L204+'DOE25'!L222+'DOE25'!L240-F7-G7-H7</f>
        <v>119017.95</v>
      </c>
      <c r="E7" s="243"/>
      <c r="F7" s="244"/>
      <c r="G7" s="53">
        <f>'DOE25'!J204+'DOE25'!J222+'DOE25'!J240</f>
        <v>0</v>
      </c>
      <c r="H7" s="53">
        <f>'DOE25'!K204+'DOE25'!K222+'DOE25'!K240</f>
        <v>0</v>
      </c>
      <c r="I7" s="256"/>
    </row>
    <row r="8" spans="1:9" x14ac:dyDescent="0.2">
      <c r="A8" s="32">
        <v>2300</v>
      </c>
      <c r="B8" t="s">
        <v>797</v>
      </c>
      <c r="C8" s="275">
        <f t="shared" si="0"/>
        <v>244512.18999999997</v>
      </c>
      <c r="D8" s="243"/>
      <c r="E8" s="20">
        <f>'DOE25'!L205+'DOE25'!L223+'DOE25'!L241-F8-G8-H8-D9-D11</f>
        <v>241201.58</v>
      </c>
      <c r="F8" s="244"/>
      <c r="G8" s="53">
        <f>'DOE25'!J205+'DOE25'!J223+'DOE25'!J241</f>
        <v>0</v>
      </c>
      <c r="H8" s="53">
        <f>'DOE25'!K205+'DOE25'!K223+'DOE25'!K241</f>
        <v>3310.61</v>
      </c>
      <c r="I8" s="256"/>
    </row>
    <row r="9" spans="1:9" ht="14.25" x14ac:dyDescent="0.2">
      <c r="A9" s="32">
        <v>2310</v>
      </c>
      <c r="B9" s="185" t="s">
        <v>888</v>
      </c>
      <c r="C9" s="275">
        <f t="shared" si="0"/>
        <v>0</v>
      </c>
      <c r="D9" s="244"/>
      <c r="E9" s="243"/>
      <c r="F9" s="253"/>
      <c r="G9" s="253"/>
      <c r="H9" s="253"/>
      <c r="I9" s="256"/>
    </row>
    <row r="10" spans="1:9" ht="14.25" x14ac:dyDescent="0.2">
      <c r="A10" s="32">
        <v>2317</v>
      </c>
      <c r="B10" s="185" t="s">
        <v>889</v>
      </c>
      <c r="C10" s="275">
        <f t="shared" si="0"/>
        <v>0</v>
      </c>
      <c r="D10" s="243"/>
      <c r="E10" s="244"/>
      <c r="F10" s="253"/>
      <c r="G10" s="253"/>
      <c r="H10" s="253"/>
      <c r="I10" s="256"/>
    </row>
    <row r="11" spans="1:9" ht="14.25" x14ac:dyDescent="0.2">
      <c r="A11" s="32">
        <v>2321</v>
      </c>
      <c r="B11" s="185" t="s">
        <v>890</v>
      </c>
      <c r="C11" s="275">
        <f t="shared" si="0"/>
        <v>0</v>
      </c>
      <c r="D11" s="244"/>
      <c r="E11" s="243"/>
      <c r="F11" s="253"/>
      <c r="G11" s="253"/>
      <c r="H11" s="253"/>
      <c r="I11" s="256"/>
    </row>
    <row r="12" spans="1:9" x14ac:dyDescent="0.2">
      <c r="A12" s="32">
        <v>2400</v>
      </c>
      <c r="B12" t="s">
        <v>711</v>
      </c>
      <c r="C12" s="275">
        <f t="shared" si="0"/>
        <v>276300.78000000003</v>
      </c>
      <c r="D12" s="20">
        <f>'DOE25'!L206+'DOE25'!L224+'DOE25'!L242-F12-G12-H12</f>
        <v>275505.78000000003</v>
      </c>
      <c r="E12" s="243"/>
      <c r="F12" s="244"/>
      <c r="G12" s="53">
        <f>'DOE25'!J206+'DOE25'!J224+'DOE25'!J242</f>
        <v>0</v>
      </c>
      <c r="H12" s="53">
        <f>'DOE25'!K206+'DOE25'!K224+'DOE25'!K242</f>
        <v>795</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364341.11</v>
      </c>
      <c r="D14" s="20">
        <f>'DOE25'!L208+'DOE25'!L226+'DOE25'!L244-F14-G14-H14</f>
        <v>360467.11</v>
      </c>
      <c r="E14" s="243"/>
      <c r="F14" s="244"/>
      <c r="G14" s="53">
        <f>'DOE25'!J208+'DOE25'!J226+'DOE25'!J244</f>
        <v>3874</v>
      </c>
      <c r="H14" s="53">
        <f>'DOE25'!K208+'DOE25'!K226+'DOE25'!K244</f>
        <v>0</v>
      </c>
      <c r="I14" s="256"/>
    </row>
    <row r="15" spans="1:9" x14ac:dyDescent="0.2">
      <c r="A15" s="32">
        <v>2700</v>
      </c>
      <c r="B15" t="s">
        <v>799</v>
      </c>
      <c r="C15" s="275">
        <f t="shared" si="0"/>
        <v>167056.43</v>
      </c>
      <c r="D15" s="20">
        <f>'DOE25'!L209+'DOE25'!L227+'DOE25'!L245-F15-G15-H15</f>
        <v>167056.43</v>
      </c>
      <c r="E15" s="243"/>
      <c r="F15" s="244"/>
      <c r="G15" s="53">
        <f>'DOE25'!J209+'DOE25'!J227+'DOE25'!J245</f>
        <v>0</v>
      </c>
      <c r="H15" s="53">
        <f>'DOE25'!K209+'DOE25'!K227+'DOE25'!K245</f>
        <v>0</v>
      </c>
      <c r="I15" s="256"/>
    </row>
    <row r="16" spans="1:9" x14ac:dyDescent="0.2">
      <c r="A16" s="32">
        <v>2800</v>
      </c>
      <c r="B16" t="s">
        <v>800</v>
      </c>
      <c r="C16" s="275">
        <f t="shared" si="0"/>
        <v>54287.76</v>
      </c>
      <c r="D16" s="243"/>
      <c r="E16" s="20">
        <f>'DOE25'!L210+'DOE25'!L228+'DOE25'!L246-F16-G16-H16</f>
        <v>53518.53</v>
      </c>
      <c r="F16" s="244"/>
      <c r="G16" s="53">
        <f>'DOE25'!J210+'DOE25'!J228+'DOE25'!J246</f>
        <v>769.23</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54302.78</v>
      </c>
      <c r="D29" s="283">
        <f>'DOE25'!L359+'DOE25'!L360+'DOE25'!L361-'DOE25'!I368-F29-G29-H29</f>
        <v>54069.45</v>
      </c>
      <c r="E29" s="243"/>
      <c r="F29" s="244"/>
      <c r="G29" s="53">
        <f>'DOE25'!J359+'DOE25'!J360+'DOE25'!J361</f>
        <v>0</v>
      </c>
      <c r="H29" s="53">
        <f>'DOE25'!K359+'DOE25'!K360+'DOE25'!K361</f>
        <v>233.33</v>
      </c>
      <c r="I29" s="256"/>
    </row>
    <row r="30" spans="1:9" x14ac:dyDescent="0.2">
      <c r="A30" s="32"/>
      <c r="C30" s="276"/>
      <c r="D30" s="20"/>
      <c r="E30" s="280"/>
      <c r="F30" s="270"/>
      <c r="G30" s="53"/>
      <c r="H30" s="53"/>
      <c r="I30" s="256"/>
    </row>
    <row r="31" spans="1:9" x14ac:dyDescent="0.2">
      <c r="A31" s="32" t="s">
        <v>818</v>
      </c>
      <c r="B31" t="s">
        <v>817</v>
      </c>
      <c r="C31" s="275">
        <f>SUM(D31:I31)</f>
        <v>158132.25999999998</v>
      </c>
      <c r="D31" s="20">
        <f>'DOE25'!L291+'DOE25'!L310+'DOE25'!L329+'DOE25'!L334+'DOE25'!L335+'DOE25'!L336-F31-G31-H31</f>
        <v>158132.25999999998</v>
      </c>
      <c r="E31" s="243"/>
      <c r="F31" s="244"/>
      <c r="G31" s="53">
        <f>'DOE25'!J291+'DOE25'!J310+'DOE25'!J329+'DOE25'!J334+'DOE25'!J335+'DOE25'!J336</f>
        <v>0</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4938191.169999999</v>
      </c>
      <c r="E33" s="245">
        <f t="shared" si="1"/>
        <v>294720.11</v>
      </c>
      <c r="F33" s="245">
        <f t="shared" si="1"/>
        <v>0</v>
      </c>
      <c r="G33" s="245">
        <f t="shared" si="1"/>
        <v>20424.48</v>
      </c>
      <c r="H33" s="245">
        <f t="shared" si="1"/>
        <v>4338.9400000000005</v>
      </c>
      <c r="I33" s="245">
        <f t="shared" si="1"/>
        <v>0</v>
      </c>
    </row>
    <row r="35" spans="1:9" ht="12" thickBot="1" x14ac:dyDescent="0.25">
      <c r="B35" s="251" t="s">
        <v>831</v>
      </c>
      <c r="D35" s="252">
        <f>E33</f>
        <v>294720.11</v>
      </c>
      <c r="E35" s="248"/>
      <c r="F35" s="335" t="s">
        <v>1632</v>
      </c>
      <c r="G35" s="336"/>
      <c r="H35" s="336"/>
      <c r="I35" s="336"/>
    </row>
    <row r="36" spans="1:9" ht="12" thickTop="1" x14ac:dyDescent="0.2">
      <c r="B36" t="s">
        <v>810</v>
      </c>
      <c r="D36" s="20">
        <f>D33</f>
        <v>4938191.169999999</v>
      </c>
      <c r="F36" s="338" t="s">
        <v>1622</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N</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D26" sqref="D2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Mont Vernon School District</v>
      </c>
      <c r="B2" s="126">
        <f>'DOE25'!B2</f>
        <v>367</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3990295.25</v>
      </c>
      <c r="G4" s="302">
        <f>'DOE25'!L212+'DOE25'!L291</f>
        <v>3990295.2499999991</v>
      </c>
      <c r="H4" s="355">
        <f>F4-G4</f>
        <v>0</v>
      </c>
      <c r="I4" s="372" t="str">
        <f>IF(H4=0,"","ISSUES!! Please review page 7 and 11 totals in comparison with total on this page")</f>
        <v/>
      </c>
      <c r="N4"/>
    </row>
    <row r="5" spans="1:18" x14ac:dyDescent="0.2">
      <c r="A5" s="21" t="s">
        <v>1282</v>
      </c>
      <c r="B5" s="303">
        <f>IFERROR(VLOOKUP(A5,'School Tables'!$C$3:$D$365,2,FALSE),"")</f>
        <v>21790</v>
      </c>
      <c r="C5" s="296" t="str">
        <f>IFERROR(INDEX('School Tables'!$B$3:$B$365,MATCH('School Level Expenditures'!B5,'School Tables'!$D$3:$D$365,0)),"")</f>
        <v>Mont Vernon</v>
      </c>
      <c r="D5" s="293">
        <v>3835152.91</v>
      </c>
      <c r="E5" s="293">
        <v>155142.34</v>
      </c>
      <c r="F5" s="306">
        <f>D5+E5</f>
        <v>3990295.25</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3835152.91</v>
      </c>
      <c r="E21" s="353">
        <f>SUM(E5:E20)</f>
        <v>155142.34</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1246644.1099999999</v>
      </c>
      <c r="G24" s="302">
        <f>'DOE25'!L230+'DOE25'!L310</f>
        <v>1213076.67</v>
      </c>
      <c r="H24" s="355">
        <f>F24-G24</f>
        <v>33567.439999999944</v>
      </c>
      <c r="I24" s="372" t="str">
        <f>IF(H24=0,"","ISSUES!! Please review page 8 and 12 totals in comparison with total on this page")</f>
        <v>ISSUES!! Please review page 8 and 12 totals in comparison with total on this page</v>
      </c>
      <c r="N24"/>
    </row>
    <row r="25" spans="1:14" x14ac:dyDescent="0.2">
      <c r="A25" s="21" t="s">
        <v>1555</v>
      </c>
      <c r="B25" s="303">
        <f>IFERROR(VLOOKUP(A25,'School Tables'!$I$3:$J$80,2,FALSE),"")</f>
        <v>99999</v>
      </c>
      <c r="C25" s="296" t="str">
        <f t="array" ref="C25">IFERROR(INDEX('School Tables'!$H$3:$H$80,MATCH('School Level Expenditures'!B25,'School Tables'!$J$3:$J$80,0)),"")</f>
        <v>Other District Expenditures</v>
      </c>
      <c r="D25" s="293">
        <f>1109252.14+137391.97</f>
        <v>1246644.1099999999</v>
      </c>
      <c r="E25" s="293"/>
      <c r="F25" s="306">
        <f>D25+E25</f>
        <v>1246644.1099999999</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1246644.1099999999</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0</v>
      </c>
      <c r="G36" s="302">
        <f>'DOE25'!L248+'DOE25'!L329</f>
        <v>0</v>
      </c>
      <c r="H36" s="355">
        <f>F36-G36</f>
        <v>0</v>
      </c>
      <c r="I36" s="372" t="str">
        <f>IF(H36=0,"","ISSUES!! Please review page 9 and 13 totals in comparison with total on this page")</f>
        <v/>
      </c>
      <c r="N36"/>
    </row>
    <row r="37" spans="1:14" x14ac:dyDescent="0.2">
      <c r="A37" s="21"/>
      <c r="B37" s="303" t="str">
        <f>IFERROR(VLOOKUP(A37,'School Tables'!$O$3:$P$118,2,FALSE),"")</f>
        <v/>
      </c>
      <c r="C37" s="296" t="str">
        <f t="array" ref="C37">IFERROR(INDEX('School Tables'!$N$3:$N$118,MATCH('School Level Expenditures'!B37,'School Tables'!$P$3:$P$118,0)),"")</f>
        <v/>
      </c>
      <c r="D37" s="293"/>
      <c r="E37" s="293"/>
      <c r="F37" s="306">
        <f t="shared" ref="F37:F42" si="2">D37+E37</f>
        <v>0</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0</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Mont Vernon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666269.54</v>
      </c>
      <c r="D8" s="95">
        <f>'DOE25'!G9</f>
        <v>0</v>
      </c>
      <c r="E8" s="95">
        <f>'DOE25'!H9</f>
        <v>0</v>
      </c>
      <c r="F8" s="95">
        <f>'DOE25'!I9</f>
        <v>0</v>
      </c>
      <c r="G8" s="95">
        <f>'DOE25'!J9</f>
        <v>12227.97</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25166.3</v>
      </c>
      <c r="D11" s="95">
        <f>'DOE25'!G12</f>
        <v>0</v>
      </c>
      <c r="E11" s="95">
        <f>'DOE25'!H12</f>
        <v>0</v>
      </c>
      <c r="F11" s="95">
        <f>'DOE25'!I12</f>
        <v>0</v>
      </c>
      <c r="G11" s="95">
        <f>'DOE25'!J12</f>
        <v>0</v>
      </c>
      <c r="H11" s="124"/>
      <c r="I11" s="124"/>
    </row>
    <row r="12" spans="1:9" x14ac:dyDescent="0.2">
      <c r="A12" s="1" t="s">
        <v>143</v>
      </c>
      <c r="B12" s="6">
        <v>140</v>
      </c>
      <c r="C12" s="95">
        <f>'DOE25'!F13</f>
        <v>64.260000000000005</v>
      </c>
      <c r="D12" s="95">
        <f>'DOE25'!G13</f>
        <v>15835.52</v>
      </c>
      <c r="E12" s="95">
        <f>'DOE25'!H13</f>
        <v>21330.25</v>
      </c>
      <c r="F12" s="95">
        <f>'DOE25'!I13</f>
        <v>0</v>
      </c>
      <c r="G12" s="95">
        <f>'DOE25'!J13</f>
        <v>376133.84</v>
      </c>
      <c r="H12" s="124"/>
      <c r="I12" s="124"/>
    </row>
    <row r="13" spans="1:9" x14ac:dyDescent="0.2">
      <c r="A13" s="1" t="s">
        <v>144</v>
      </c>
      <c r="B13" s="6">
        <v>150</v>
      </c>
      <c r="C13" s="95">
        <f>'DOE25'!F14</f>
        <v>155.1</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691655.20000000007</v>
      </c>
      <c r="D18" s="41">
        <f>SUM(D8:D17)</f>
        <v>15835.52</v>
      </c>
      <c r="E18" s="41">
        <f>SUM(E8:E17)</f>
        <v>21330.25</v>
      </c>
      <c r="F18" s="41">
        <f>SUM(F8:F17)</f>
        <v>0</v>
      </c>
      <c r="G18" s="41">
        <f>SUM(G8:G17)</f>
        <v>388361.81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5489.8</v>
      </c>
      <c r="E21" s="95">
        <f>'DOE25'!H22</f>
        <v>19676.5</v>
      </c>
      <c r="F21" s="95">
        <f>'DOE25'!I22</f>
        <v>0</v>
      </c>
      <c r="G21" s="95">
        <f>'DOE25'!J22</f>
        <v>0</v>
      </c>
      <c r="H21" s="124"/>
      <c r="I21" s="124"/>
    </row>
    <row r="22" spans="1:9" x14ac:dyDescent="0.2">
      <c r="A22" s="1" t="s">
        <v>151</v>
      </c>
      <c r="B22" s="6">
        <v>410</v>
      </c>
      <c r="C22" s="95">
        <f>'DOE25'!F23</f>
        <v>149239.94</v>
      </c>
      <c r="D22" s="95">
        <f>'DOE25'!G23</f>
        <v>3699.35</v>
      </c>
      <c r="E22" s="95">
        <f>'DOE25'!H23</f>
        <v>0</v>
      </c>
      <c r="F22" s="95">
        <f>'DOE25'!I23</f>
        <v>0</v>
      </c>
      <c r="G22" s="95">
        <f>'DOE25'!J23</f>
        <v>0</v>
      </c>
      <c r="H22" s="124"/>
      <c r="I22" s="124"/>
    </row>
    <row r="23" spans="1:9" x14ac:dyDescent="0.2">
      <c r="A23" s="1" t="s">
        <v>152</v>
      </c>
      <c r="B23" s="6">
        <v>420</v>
      </c>
      <c r="C23" s="95">
        <f>'DOE25'!F24</f>
        <v>37443.67</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7431.48</v>
      </c>
      <c r="D27" s="95">
        <f>'DOE25'!G28</f>
        <v>0</v>
      </c>
      <c r="E27" s="95">
        <f>'DOE25'!H28</f>
        <v>0</v>
      </c>
      <c r="F27" s="95">
        <f>'DOE25'!I28</f>
        <v>0</v>
      </c>
      <c r="G27" s="24" t="s">
        <v>288</v>
      </c>
      <c r="H27" s="124"/>
      <c r="I27" s="124"/>
    </row>
    <row r="28" spans="1:9" x14ac:dyDescent="0.2">
      <c r="A28" s="1" t="s">
        <v>157</v>
      </c>
      <c r="B28" s="6">
        <v>470</v>
      </c>
      <c r="C28" s="95">
        <f>'DOE25'!F29</f>
        <v>6108.74</v>
      </c>
      <c r="D28" s="95">
        <f>'DOE25'!G29</f>
        <v>0</v>
      </c>
      <c r="E28" s="95">
        <f>'DOE25'!H29</f>
        <v>0</v>
      </c>
      <c r="F28" s="95">
        <f>'DOE25'!I29</f>
        <v>0</v>
      </c>
      <c r="G28" s="24" t="s">
        <v>288</v>
      </c>
      <c r="H28" s="124"/>
      <c r="I28" s="124"/>
    </row>
    <row r="29" spans="1:9" x14ac:dyDescent="0.2">
      <c r="A29" s="1" t="s">
        <v>158</v>
      </c>
      <c r="B29" s="6">
        <v>480</v>
      </c>
      <c r="C29" s="95">
        <f>'DOE25'!F30</f>
        <v>0</v>
      </c>
      <c r="D29" s="95">
        <f>'DOE25'!G30</f>
        <v>6646.37</v>
      </c>
      <c r="E29" s="95">
        <f>'DOE25'!H30</f>
        <v>1653.75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12227.97</v>
      </c>
      <c r="H30" s="124"/>
      <c r="I30" s="124"/>
    </row>
    <row r="31" spans="1:9" ht="12" thickTop="1" x14ac:dyDescent="0.2">
      <c r="A31" s="38" t="s">
        <v>160</v>
      </c>
      <c r="B31" s="2"/>
      <c r="C31" s="41">
        <f>SUM(C21:C30)</f>
        <v>200223.83</v>
      </c>
      <c r="D31" s="41">
        <f>SUM(D21:D30)</f>
        <v>15835.52</v>
      </c>
      <c r="E31" s="41">
        <f>SUM(E21:E30)</f>
        <v>21330.25</v>
      </c>
      <c r="F31" s="41">
        <f>SUM(F21:F30)</f>
        <v>0</v>
      </c>
      <c r="G31" s="41">
        <f>SUM(G21:G30)</f>
        <v>12227.97</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376133.84</v>
      </c>
      <c r="H47" s="124"/>
      <c r="I47" s="124"/>
    </row>
    <row r="48" spans="1:9" x14ac:dyDescent="0.2">
      <c r="A48" s="1" t="s">
        <v>882</v>
      </c>
      <c r="B48" s="6">
        <v>753</v>
      </c>
      <c r="C48" s="95">
        <f>'DOE25'!F49</f>
        <v>133739.25</v>
      </c>
      <c r="D48" s="95">
        <f>'DOE25'!G49</f>
        <v>0</v>
      </c>
      <c r="E48" s="95">
        <f>'DOE25'!H49</f>
        <v>0</v>
      </c>
      <c r="F48" s="95">
        <f>'DOE25'!I49</f>
        <v>0</v>
      </c>
      <c r="G48" s="95">
        <f>'DOE25'!J49</f>
        <v>0</v>
      </c>
      <c r="H48" s="124"/>
      <c r="I48" s="124"/>
    </row>
    <row r="49" spans="1:9" ht="12" thickBot="1" x14ac:dyDescent="0.25">
      <c r="A49" s="29" t="s">
        <v>883</v>
      </c>
      <c r="B49" s="71">
        <v>770</v>
      </c>
      <c r="C49" s="95">
        <f>'DOE25'!F50</f>
        <v>307692.12</v>
      </c>
      <c r="D49" s="24" t="s">
        <v>288</v>
      </c>
      <c r="E49" s="24" t="s">
        <v>288</v>
      </c>
      <c r="F49" s="24" t="s">
        <v>288</v>
      </c>
      <c r="G49" s="24" t="s">
        <v>288</v>
      </c>
      <c r="H49" s="124"/>
      <c r="I49" s="124"/>
    </row>
    <row r="50" spans="1:9" ht="12.75" thickTop="1" thickBot="1" x14ac:dyDescent="0.25">
      <c r="A50" s="38" t="s">
        <v>884</v>
      </c>
      <c r="B50" s="48"/>
      <c r="C50" s="41">
        <f>SUM(C34:C49)</f>
        <v>491431.37</v>
      </c>
      <c r="D50" s="41">
        <f>SUM(D34:D49)</f>
        <v>0</v>
      </c>
      <c r="E50" s="41">
        <f>SUM(E34:E49)</f>
        <v>0</v>
      </c>
      <c r="F50" s="41">
        <f>SUM(F34:F49)</f>
        <v>0</v>
      </c>
      <c r="G50" s="41">
        <f>SUM(G34:G49)</f>
        <v>376133.84</v>
      </c>
      <c r="H50" s="124"/>
      <c r="I50" s="124"/>
    </row>
    <row r="51" spans="1:9" ht="12" thickTop="1" x14ac:dyDescent="0.2">
      <c r="A51" s="38" t="s">
        <v>885</v>
      </c>
      <c r="B51" s="2"/>
      <c r="C51" s="41">
        <f>C50+C31</f>
        <v>691655.2</v>
      </c>
      <c r="D51" s="41">
        <f>D50+D31</f>
        <v>15835.52</v>
      </c>
      <c r="E51" s="41">
        <f>E50+E31</f>
        <v>21330.25</v>
      </c>
      <c r="F51" s="41">
        <f>F50+F31</f>
        <v>0</v>
      </c>
      <c r="G51" s="41">
        <f>G50+G31</f>
        <v>388361.81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3783744</v>
      </c>
      <c r="D56" s="95">
        <f>'DOE25'!G60</f>
        <v>0</v>
      </c>
      <c r="E56" s="95">
        <f>'DOE25'!H60</f>
        <v>0</v>
      </c>
      <c r="F56" s="95">
        <f>'DOE25'!I60</f>
        <v>0</v>
      </c>
      <c r="G56" s="95">
        <f>'DOE25'!J60</f>
        <v>0</v>
      </c>
      <c r="H56"/>
      <c r="I56"/>
    </row>
    <row r="57" spans="1:9" x14ac:dyDescent="0.2">
      <c r="A57" s="1" t="s">
        <v>164</v>
      </c>
      <c r="B57" s="6" t="s">
        <v>165</v>
      </c>
      <c r="C57" s="95">
        <f>'DOE25'!F79</f>
        <v>863.19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609.71</v>
      </c>
      <c r="D59" s="95">
        <f>'DOE25'!G96</f>
        <v>0</v>
      </c>
      <c r="E59" s="95">
        <f>'DOE25'!H96</f>
        <v>0</v>
      </c>
      <c r="F59" s="95">
        <f>'DOE25'!I96</f>
        <v>0</v>
      </c>
      <c r="G59" s="95">
        <f>'DOE25'!J96</f>
        <v>246.97</v>
      </c>
      <c r="H59"/>
      <c r="I59"/>
    </row>
    <row r="60" spans="1:9" x14ac:dyDescent="0.2">
      <c r="A60" s="1" t="s">
        <v>170</v>
      </c>
      <c r="B60" s="118" t="s">
        <v>171</v>
      </c>
      <c r="C60" s="24" t="s">
        <v>288</v>
      </c>
      <c r="D60" s="95">
        <f>'DOE25'!G97</f>
        <v>4710.18</v>
      </c>
      <c r="E60" s="24" t="s">
        <v>288</v>
      </c>
      <c r="F60" s="24" t="s">
        <v>288</v>
      </c>
      <c r="G60" s="24" t="s">
        <v>288</v>
      </c>
      <c r="H60"/>
      <c r="I60"/>
    </row>
    <row r="61" spans="1:9" ht="12" thickBot="1" x14ac:dyDescent="0.25">
      <c r="A61" s="1" t="s">
        <v>172</v>
      </c>
      <c r="B61" s="118" t="s">
        <v>173</v>
      </c>
      <c r="C61" s="95">
        <f>SUM('DOE25'!F98:F110)</f>
        <v>67834.709999999992</v>
      </c>
      <c r="D61" s="95">
        <f>SUM('DOE25'!G98:G110)</f>
        <v>47.86</v>
      </c>
      <c r="E61" s="95">
        <f>SUM('DOE25'!H98:H110)</f>
        <v>66.75</v>
      </c>
      <c r="F61" s="95">
        <f>SUM('DOE25'!I98:I110)</f>
        <v>0</v>
      </c>
      <c r="G61" s="95">
        <f>SUM('DOE25'!J98:J110)</f>
        <v>0</v>
      </c>
      <c r="H61"/>
      <c r="I61"/>
    </row>
    <row r="62" spans="1:9" ht="12.75" thickTop="1" thickBot="1" x14ac:dyDescent="0.25">
      <c r="A62" s="29" t="s">
        <v>174</v>
      </c>
      <c r="B62" s="6"/>
      <c r="C62" s="130">
        <f>SUM(C57:C61)</f>
        <v>69307.609999999986</v>
      </c>
      <c r="D62" s="130">
        <f>SUM(D57:D61)</f>
        <v>4758.04</v>
      </c>
      <c r="E62" s="130">
        <f>SUM(E57:E61)</f>
        <v>66.75</v>
      </c>
      <c r="F62" s="130">
        <f>SUM(F57:F61)</f>
        <v>0</v>
      </c>
      <c r="G62" s="130">
        <f>SUM(G57:G61)</f>
        <v>246.97</v>
      </c>
      <c r="H62"/>
      <c r="I62"/>
    </row>
    <row r="63" spans="1:9" ht="12" thickTop="1" x14ac:dyDescent="0.2">
      <c r="A63" s="29" t="s">
        <v>175</v>
      </c>
      <c r="B63" s="6"/>
      <c r="C63" s="22">
        <f>C56+C62</f>
        <v>3853051.61</v>
      </c>
      <c r="D63" s="22">
        <f>D56+D62</f>
        <v>4758.04</v>
      </c>
      <c r="E63" s="22">
        <f>E56+E62</f>
        <v>66.75</v>
      </c>
      <c r="F63" s="22">
        <f>F56+F62</f>
        <v>0</v>
      </c>
      <c r="G63" s="22">
        <f>G56+G62</f>
        <v>246.97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968474.24</v>
      </c>
      <c r="D66" s="24" t="s">
        <v>288</v>
      </c>
      <c r="E66" s="24" t="s">
        <v>288</v>
      </c>
      <c r="F66" s="24" t="s">
        <v>288</v>
      </c>
      <c r="G66" s="24" t="s">
        <v>288</v>
      </c>
      <c r="H66"/>
      <c r="I66"/>
    </row>
    <row r="67" spans="1:9" x14ac:dyDescent="0.2">
      <c r="A67" s="1" t="s">
        <v>770</v>
      </c>
      <c r="B67" s="6">
        <v>3112</v>
      </c>
      <c r="C67" s="95">
        <f>'DOE25'!F118</f>
        <v>396802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1365276.24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6648.13</v>
      </c>
      <c r="D75" s="24" t="s">
        <v>288</v>
      </c>
      <c r="E75" s="24" t="s">
        <v>288</v>
      </c>
      <c r="F75" s="24" t="s">
        <v>288</v>
      </c>
      <c r="G75" s="24" t="s">
        <v>288</v>
      </c>
      <c r="H75"/>
      <c r="I75"/>
    </row>
    <row r="76" spans="1:9" x14ac:dyDescent="0.2">
      <c r="A76" s="1" t="s">
        <v>257</v>
      </c>
      <c r="B76" s="6" t="s">
        <v>179</v>
      </c>
      <c r="C76" s="95">
        <f>SUM('DOE25'!F127:F130)</f>
        <v>0</v>
      </c>
      <c r="D76" s="24" t="s">
        <v>288</v>
      </c>
      <c r="E76" s="95">
        <f>SUM('DOE25'!H127:H130)</f>
        <v>3450.07</v>
      </c>
      <c r="F76" s="95">
        <f>SUM('DOE25'!I127:I130)</f>
        <v>0</v>
      </c>
      <c r="G76" s="24" t="s">
        <v>288</v>
      </c>
      <c r="H76"/>
      <c r="I76"/>
    </row>
    <row r="77" spans="1:9" ht="12" thickBot="1" x14ac:dyDescent="0.25">
      <c r="A77" s="1" t="s">
        <v>258</v>
      </c>
      <c r="B77" s="6" t="s">
        <v>180</v>
      </c>
      <c r="C77" s="95">
        <f>SUM('DOE25'!F131:F135)</f>
        <v>17995.53</v>
      </c>
      <c r="D77" s="95">
        <f>SUM('DOE25'!G131:G135)</f>
        <v>771.24</v>
      </c>
      <c r="E77" s="95">
        <f>SUM('DOE25'!H131:H135)</f>
        <v>0</v>
      </c>
      <c r="F77" s="95">
        <f>SUM('DOE25'!I131:I135)</f>
        <v>0</v>
      </c>
      <c r="G77" s="95">
        <f>SUM('DOE25'!J131:J135)</f>
        <v>0</v>
      </c>
      <c r="H77"/>
      <c r="I77"/>
    </row>
    <row r="78" spans="1:9" ht="12.75" thickTop="1" thickBot="1" x14ac:dyDescent="0.25">
      <c r="A78" s="29" t="s">
        <v>259</v>
      </c>
      <c r="B78" s="6"/>
      <c r="C78" s="130">
        <f>SUM(C72:C77)</f>
        <v>24643.66</v>
      </c>
      <c r="D78" s="130">
        <f>SUM(D72:D77)</f>
        <v>771.24</v>
      </c>
      <c r="E78" s="130">
        <f>SUM(E72:E77)</f>
        <v>3450.07</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1389919.9</v>
      </c>
      <c r="D81" s="130">
        <f>SUM(D79:D80)+D78+D70</f>
        <v>771.24</v>
      </c>
      <c r="E81" s="130">
        <f>SUM(E79:E80)+E78+E70</f>
        <v>3450.07</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19023.060000000001</v>
      </c>
      <c r="F87" s="95">
        <f>SUM('DOE25'!I149:I152)</f>
        <v>0</v>
      </c>
      <c r="G87" s="24" t="s">
        <v>288</v>
      </c>
    </row>
    <row r="88" spans="1:9" x14ac:dyDescent="0.2">
      <c r="A88" s="290" t="s">
        <v>747</v>
      </c>
      <c r="B88" s="332" t="s">
        <v>184</v>
      </c>
      <c r="C88" s="333">
        <f>SUM('DOE25'!F153:F162)</f>
        <v>526.9</v>
      </c>
      <c r="D88" s="333">
        <f>SUM('DOE25'!G153:G162)</f>
        <v>37968.33</v>
      </c>
      <c r="E88" s="333">
        <f>SUM('DOE25'!H153:H162)</f>
        <v>135592.38</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526.9</v>
      </c>
      <c r="D91" s="131">
        <f>SUM(D85:D90)</f>
        <v>37968.33</v>
      </c>
      <c r="E91" s="131">
        <f>SUM(E85:E90)</f>
        <v>154615.44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27779.360000000001</v>
      </c>
      <c r="E96" s="95">
        <f>'DOE25'!H180</f>
        <v>0</v>
      </c>
      <c r="F96" s="95">
        <f>'DOE25'!I180</f>
        <v>0</v>
      </c>
      <c r="G96" s="95">
        <f>'DOE25'!J180</f>
        <v>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27779.360000000001</v>
      </c>
      <c r="E103" s="86">
        <f>SUM(E93:E102)</f>
        <v>0</v>
      </c>
      <c r="F103" s="86">
        <f>SUM(F93:F102)</f>
        <v>0</v>
      </c>
      <c r="G103" s="86">
        <f>SUM(G93:G102)</f>
        <v>50000</v>
      </c>
    </row>
    <row r="104" spans="1:7" ht="12.75" thickTop="1" thickBot="1" x14ac:dyDescent="0.25">
      <c r="A104" s="33" t="s">
        <v>761</v>
      </c>
      <c r="C104" s="86">
        <f>C63+C81+C91+C103</f>
        <v>5243498.41</v>
      </c>
      <c r="D104" s="86">
        <f>D63+D81+D91+D103</f>
        <v>71276.97</v>
      </c>
      <c r="E104" s="86">
        <f>E63+E81+E91+E103</f>
        <v>158132.26</v>
      </c>
      <c r="F104" s="86">
        <f>F63+F81+F91+F103</f>
        <v>0</v>
      </c>
      <c r="G104" s="86">
        <f>G63+G81+G103</f>
        <v>50246.97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2722141.9399999995</v>
      </c>
      <c r="D109" s="24" t="s">
        <v>288</v>
      </c>
      <c r="E109" s="95">
        <f>('DOE25'!L277)+('DOE25'!L296)+('DOE25'!L315)</f>
        <v>23717.34</v>
      </c>
      <c r="F109" s="24" t="s">
        <v>288</v>
      </c>
      <c r="G109" s="24" t="s">
        <v>288</v>
      </c>
    </row>
    <row r="110" spans="1:7" x14ac:dyDescent="0.2">
      <c r="A110" t="s">
        <v>198</v>
      </c>
      <c r="B110" s="32" t="s">
        <v>199</v>
      </c>
      <c r="C110" s="95">
        <f>('DOE25'!L199)+('DOE25'!L217)+('DOE25'!L235)</f>
        <v>710309.28</v>
      </c>
      <c r="D110" s="24" t="s">
        <v>288</v>
      </c>
      <c r="E110" s="95">
        <f>('DOE25'!L278)+('DOE25'!L297)+('DOE25'!L316)</f>
        <v>61363.979999999996</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7984.03</v>
      </c>
      <c r="D112" s="24" t="s">
        <v>288</v>
      </c>
      <c r="E112" s="95">
        <f>+('DOE25'!L280)+('DOE25'!L299)+('DOE25'!L318)</f>
        <v>3450.07</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3440435.2499999995</v>
      </c>
      <c r="D115" s="86">
        <f>SUM(D109:D114)</f>
        <v>0</v>
      </c>
      <c r="E115" s="86">
        <f>SUM(E109:E114)</f>
        <v>88531.39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379288.19</v>
      </c>
      <c r="D118" s="24" t="s">
        <v>288</v>
      </c>
      <c r="E118" s="95">
        <f>+('DOE25'!L282)+('DOE25'!L301)+('DOE25'!L320)</f>
        <v>4776.97</v>
      </c>
      <c r="F118" s="24" t="s">
        <v>288</v>
      </c>
      <c r="G118" s="24" t="s">
        <v>288</v>
      </c>
    </row>
    <row r="119" spans="1:7" x14ac:dyDescent="0.2">
      <c r="A119" t="s">
        <v>208</v>
      </c>
      <c r="B119" s="32" t="s">
        <v>209</v>
      </c>
      <c r="C119" s="95">
        <f>('DOE25'!L204)+('DOE25'!L222)+('DOE25'!L240)</f>
        <v>119017.95</v>
      </c>
      <c r="D119" s="24" t="s">
        <v>288</v>
      </c>
      <c r="E119" s="95">
        <f>+('DOE25'!L283)+('DOE25'!L302)+('DOE25'!L321)</f>
        <v>27165.09</v>
      </c>
      <c r="F119" s="24" t="s">
        <v>288</v>
      </c>
      <c r="G119" s="24" t="s">
        <v>288</v>
      </c>
    </row>
    <row r="120" spans="1:7" x14ac:dyDescent="0.2">
      <c r="A120" t="s">
        <v>210</v>
      </c>
      <c r="B120" s="32" t="s">
        <v>211</v>
      </c>
      <c r="C120" s="95">
        <f>('DOE25'!L205)+('DOE25'!L223)+('DOE25'!L241)</f>
        <v>244512.18999999997</v>
      </c>
      <c r="D120" s="24" t="s">
        <v>288</v>
      </c>
      <c r="E120" s="95">
        <f>+('DOE25'!L284)+('DOE25'!L303)+('DOE25'!L322)</f>
        <v>3012.5</v>
      </c>
      <c r="F120" s="24" t="s">
        <v>288</v>
      </c>
      <c r="G120" s="24" t="s">
        <v>288</v>
      </c>
    </row>
    <row r="121" spans="1:7" x14ac:dyDescent="0.2">
      <c r="A121" t="s">
        <v>212</v>
      </c>
      <c r="B121" s="32" t="s">
        <v>213</v>
      </c>
      <c r="C121" s="95">
        <f>('DOE25'!L206)+('DOE25'!L224)+('DOE25'!L242)</f>
        <v>276300.78000000003</v>
      </c>
      <c r="D121" s="24" t="s">
        <v>288</v>
      </c>
      <c r="E121" s="95">
        <f>+('DOE25'!L285)+('DOE25'!L304)+('DOE25'!L323)</f>
        <v>1742.26</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364341.11</v>
      </c>
      <c r="D123" s="24" t="s">
        <v>288</v>
      </c>
      <c r="E123" s="95">
        <f>+('DOE25'!L287)+('DOE25'!L306)+('DOE25'!L325)</f>
        <v>12057.6</v>
      </c>
      <c r="F123" s="24" t="s">
        <v>288</v>
      </c>
      <c r="G123" s="24" t="s">
        <v>288</v>
      </c>
    </row>
    <row r="124" spans="1:7" x14ac:dyDescent="0.2">
      <c r="A124" t="s">
        <v>218</v>
      </c>
      <c r="B124" s="32" t="s">
        <v>219</v>
      </c>
      <c r="C124" s="95">
        <f>('DOE25'!L209)+('DOE25'!L227)+('DOE25'!L245+'DOE25'!L255)</f>
        <v>167056.43</v>
      </c>
      <c r="D124" s="24" t="s">
        <v>288</v>
      </c>
      <c r="E124" s="95">
        <f>+('DOE25'!L288)+('DOE25'!L307)+('DOE25'!L326)</f>
        <v>10135.08</v>
      </c>
      <c r="F124" s="24" t="s">
        <v>288</v>
      </c>
      <c r="G124" s="24" t="s">
        <v>288</v>
      </c>
    </row>
    <row r="125" spans="1:7" x14ac:dyDescent="0.2">
      <c r="A125" t="s">
        <v>220</v>
      </c>
      <c r="B125" s="32" t="s">
        <v>221</v>
      </c>
      <c r="C125" s="95">
        <f>('DOE25'!L210)+('DOE25'!L228)+('DOE25'!L246)</f>
        <v>54287.76</v>
      </c>
      <c r="D125" s="24" t="s">
        <v>288</v>
      </c>
      <c r="E125" s="95">
        <f>+('DOE25'!L289)+('DOE25'!L308)+('DOE25'!L327)</f>
        <v>10711.37</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71276.97</v>
      </c>
      <c r="E127" s="24" t="s">
        <v>288</v>
      </c>
      <c r="F127" s="24" t="s">
        <v>288</v>
      </c>
      <c r="G127" s="24" t="s">
        <v>288</v>
      </c>
    </row>
    <row r="128" spans="1:7" ht="12.75" thickTop="1" thickBot="1" x14ac:dyDescent="0.25">
      <c r="A128" s="33" t="s">
        <v>226</v>
      </c>
      <c r="C128" s="86">
        <f>SUM(C118:C127)</f>
        <v>1604804.41</v>
      </c>
      <c r="D128" s="86">
        <f>SUM(D118:D127)</f>
        <v>71276.97</v>
      </c>
      <c r="E128" s="86">
        <f>SUM(E118:E127)</f>
        <v>69600.87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27779.360000000001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50246.97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-246.97000000000116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77779.360000000001</v>
      </c>
      <c r="D144" s="141">
        <f>SUM(D130:D143)</f>
        <v>0</v>
      </c>
      <c r="E144" s="141">
        <f>SUM(E130:E143)</f>
        <v>0</v>
      </c>
      <c r="F144" s="141">
        <f>SUM(F130:F143)</f>
        <v>0</v>
      </c>
      <c r="G144" s="141">
        <f>SUM(G130:G143)</f>
        <v>0</v>
      </c>
    </row>
    <row r="145" spans="1:9" ht="12.75" thickTop="1" thickBot="1" x14ac:dyDescent="0.25">
      <c r="A145" s="33" t="s">
        <v>244</v>
      </c>
      <c r="C145" s="86">
        <f>(C115+C128+C144)</f>
        <v>5123019.0199999996</v>
      </c>
      <c r="D145" s="86">
        <f>(D115+D128+D144)</f>
        <v>71276.97</v>
      </c>
      <c r="E145" s="86">
        <f>(E115+E128+E144)</f>
        <v>158132.26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Mont Vernon School District</v>
      </c>
    </row>
    <row r="3" spans="1:4" x14ac:dyDescent="0.2">
      <c r="B3" s="188" t="s">
        <v>1666</v>
      </c>
    </row>
    <row r="4" spans="1:4" x14ac:dyDescent="0.2">
      <c r="B4" t="s">
        <v>61</v>
      </c>
      <c r="C4" s="179">
        <f>IF('DOE25'!F666+'DOE25'!F671=0,0,ROUND('DOE25'!F673,0))</f>
        <v>18619</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18619</v>
      </c>
    </row>
    <row r="9" spans="1:4" x14ac:dyDescent="0.2">
      <c r="A9" s="187" t="s">
        <v>94</v>
      </c>
      <c r="B9" s="188" t="s">
        <v>1671</v>
      </c>
      <c r="C9" s="181" t="s">
        <v>720</v>
      </c>
      <c r="D9" s="181" t="s">
        <v>721</v>
      </c>
    </row>
    <row r="10" spans="1:4" x14ac:dyDescent="0.2">
      <c r="A10">
        <v>1100</v>
      </c>
      <c r="B10" t="s">
        <v>702</v>
      </c>
      <c r="C10" s="179">
        <f>ROUND('DOE25'!L198+'DOE25'!L216+'DOE25'!L234+'DOE25'!L277+'DOE25'!L296+'DOE25'!L315,0)</f>
        <v>2745859</v>
      </c>
      <c r="D10" s="182">
        <f>ROUND((C10/$C$28)*100,1)</f>
        <v>52.1</v>
      </c>
    </row>
    <row r="11" spans="1:4" x14ac:dyDescent="0.2">
      <c r="A11">
        <v>1200</v>
      </c>
      <c r="B11" t="s">
        <v>703</v>
      </c>
      <c r="C11" s="179">
        <f>ROUND('DOE25'!L199+'DOE25'!L217+'DOE25'!L235+'DOE25'!L278+'DOE25'!L297+'DOE25'!L316,0)</f>
        <v>771673</v>
      </c>
      <c r="D11" s="182">
        <f>ROUND((C11/$C$28)*100,1)</f>
        <v>14.6</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11434</v>
      </c>
      <c r="D13" s="182">
        <f>ROUND((C13/$C$28)*100,1)</f>
        <v>0.2</v>
      </c>
    </row>
    <row r="14" spans="1:4" x14ac:dyDescent="0.2">
      <c r="D14" s="182"/>
    </row>
    <row r="15" spans="1:4" x14ac:dyDescent="0.2">
      <c r="A15">
        <v>2100</v>
      </c>
      <c r="B15" t="s">
        <v>706</v>
      </c>
      <c r="C15" s="179">
        <f>ROUND('DOE25'!L203+'DOE25'!L221+'DOE25'!L239+'DOE25'!L282+'DOE25'!L301+'DOE25'!L320,0)</f>
        <v>384065</v>
      </c>
      <c r="D15" s="182">
        <f t="shared" ref="D15:D27" si="0">ROUND((C15/$C$28)*100,1)</f>
        <v>7.3</v>
      </c>
    </row>
    <row r="16" spans="1:4" x14ac:dyDescent="0.2">
      <c r="A16">
        <v>2200</v>
      </c>
      <c r="B16" t="s">
        <v>707</v>
      </c>
      <c r="C16" s="179">
        <f>ROUND('DOE25'!L204+'DOE25'!L222+'DOE25'!L240+'DOE25'!L283+'DOE25'!L302+'DOE25'!L321,0)</f>
        <v>146183</v>
      </c>
      <c r="D16" s="182">
        <f t="shared" si="0"/>
        <v>2.8</v>
      </c>
    </row>
    <row r="17" spans="1:4" x14ac:dyDescent="0.2">
      <c r="A17" s="183" t="s">
        <v>723</v>
      </c>
      <c r="B17" t="s">
        <v>738</v>
      </c>
      <c r="C17" s="179">
        <f>ROUND('DOE25'!L205+'DOE25'!L210+'DOE25'!L223+'DOE25'!L228+'DOE25'!L241+'DOE25'!L246+'DOE25'!L284+'DOE25'!L289+'DOE25'!L303+'DOE25'!L308+'DOE25'!L322+'DOE25'!L327,0)</f>
        <v>312524</v>
      </c>
      <c r="D17" s="182">
        <f t="shared" si="0"/>
        <v>5.9</v>
      </c>
    </row>
    <row r="18" spans="1:4" x14ac:dyDescent="0.2">
      <c r="A18">
        <v>2400</v>
      </c>
      <c r="B18" t="s">
        <v>711</v>
      </c>
      <c r="C18" s="179">
        <f>ROUND('DOE25'!L206+'DOE25'!L224+'DOE25'!L242+'DOE25'!L285+'DOE25'!L304+'DOE25'!L323,0)</f>
        <v>278043</v>
      </c>
      <c r="D18" s="182">
        <f t="shared" si="0"/>
        <v>5.3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376399</v>
      </c>
      <c r="D20" s="182">
        <f t="shared" si="0"/>
        <v>7.1</v>
      </c>
    </row>
    <row r="21" spans="1:4" x14ac:dyDescent="0.2">
      <c r="A21">
        <v>2700</v>
      </c>
      <c r="B21" t="s">
        <v>710</v>
      </c>
      <c r="C21" s="179">
        <f>ROUND('DOE25'!L209+'DOE25'!L227+'DOE25'!L245+'DOE25'!L288+'DOE25'!L307+'DOE25'!L326,0)</f>
        <v>177192</v>
      </c>
      <c r="D21" s="182">
        <f t="shared" si="0"/>
        <v>3.4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66518.960000000006</v>
      </c>
      <c r="D27" s="182">
        <f t="shared" si="0"/>
        <v>1.3</v>
      </c>
    </row>
    <row r="28" spans="1:4" x14ac:dyDescent="0.2">
      <c r="B28" s="187" t="s">
        <v>719</v>
      </c>
      <c r="C28" s="180">
        <f>SUM(C10:C27)</f>
        <v>5269890.96</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5269890.96</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3783744</v>
      </c>
      <c r="D35" s="182">
        <f t="shared" ref="D35:D40" si="1">ROUND((C35/$C$41)*100,1)</f>
        <v>69.5</v>
      </c>
    </row>
    <row r="36" spans="1:4" x14ac:dyDescent="0.2">
      <c r="B36" s="185" t="s">
        <v>739</v>
      </c>
      <c r="C36" s="179">
        <f>SUM('DOE25'!F112:J112)-SUM('DOE25'!G97:G110)+('DOE25'!F175+'DOE25'!F176+'DOE25'!I175+'DOE25'!I176)-C35</f>
        <v>69621.330000000075</v>
      </c>
      <c r="D36" s="182">
        <f t="shared" si="1"/>
        <v>1.3</v>
      </c>
    </row>
    <row r="37" spans="1:4" x14ac:dyDescent="0.2">
      <c r="A37" s="183" t="s">
        <v>835</v>
      </c>
      <c r="B37" s="185" t="s">
        <v>728</v>
      </c>
      <c r="C37" s="179">
        <f>ROUND('DOE25'!F117+'DOE25'!F118,0)</f>
        <v>1365276</v>
      </c>
      <c r="D37" s="182">
        <f t="shared" si="1"/>
        <v>25.1</v>
      </c>
    </row>
    <row r="38" spans="1:4" x14ac:dyDescent="0.2">
      <c r="A38" s="183" t="s">
        <v>734</v>
      </c>
      <c r="B38" s="185" t="s">
        <v>729</v>
      </c>
      <c r="C38" s="179">
        <f>ROUND(SUM('DOE25'!F140:J140)-SUM('DOE25'!F117:F119),0)</f>
        <v>28865</v>
      </c>
      <c r="D38" s="182">
        <f t="shared" si="1"/>
        <v>0.5</v>
      </c>
    </row>
    <row r="39" spans="1:4" x14ac:dyDescent="0.2">
      <c r="A39">
        <v>4000</v>
      </c>
      <c r="B39" s="185" t="s">
        <v>730</v>
      </c>
      <c r="C39" s="179">
        <f>ROUND('DOE25'!F170+'DOE25'!G170+'DOE25'!H170+'DOE25'!I170,0)</f>
        <v>193111</v>
      </c>
      <c r="D39" s="182">
        <f t="shared" si="1"/>
        <v>3.5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5440617.3300000001</v>
      </c>
      <c r="D41" s="184">
        <f>SUM(D35:D40)</f>
        <v>99.9</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sqref="A1:I1"/>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Mont Vernon School District</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Leclerc, Ronald</cp:lastModifiedBy>
  <cp:lastPrinted>2021-08-25T17:30:34Z</cp:lastPrinted>
  <dcterms:created xsi:type="dcterms:W3CDTF">1997-12-04T19:04:30Z</dcterms:created>
  <dcterms:modified xsi:type="dcterms:W3CDTF">2021-09-14T16:48:25Z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