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2440" windowHeight="141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3" i="10" s="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G655" i="1"/>
  <c r="H655" i="1"/>
  <c r="H656" i="1"/>
  <c r="J656" i="1" s="1"/>
  <c r="G62" i="2"/>
  <c r="I170" i="1"/>
  <c r="G646" i="1" l="1"/>
  <c r="H477" i="1"/>
  <c r="H625" i="1" s="1"/>
  <c r="H663" i="1"/>
  <c r="C119" i="2"/>
  <c r="C110" i="2"/>
  <c r="C120" i="2"/>
  <c r="C12" i="10"/>
  <c r="J258" i="1"/>
  <c r="J272" i="1" s="1"/>
  <c r="C112" i="2"/>
  <c r="E123" i="2"/>
  <c r="D18" i="13"/>
  <c r="C18" i="13" s="1"/>
  <c r="G409" i="1"/>
  <c r="H646" i="1" s="1"/>
  <c r="E110" i="2"/>
  <c r="D15" i="13"/>
  <c r="C15" i="13" s="1"/>
  <c r="H409" i="1"/>
  <c r="H645" i="1" s="1"/>
  <c r="J645" i="1" s="1"/>
  <c r="G339" i="1"/>
  <c r="G353" i="1" s="1"/>
  <c r="G553" i="1"/>
  <c r="J572" i="1"/>
  <c r="A40" i="12"/>
  <c r="C32" i="10"/>
  <c r="E119" i="2"/>
  <c r="C121" i="2"/>
  <c r="D6" i="13"/>
  <c r="C6" i="13" s="1"/>
  <c r="E13" i="13"/>
  <c r="C13" i="13" s="1"/>
  <c r="J652" i="1"/>
  <c r="G651" i="1"/>
  <c r="J651" i="1" s="1"/>
  <c r="G662"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C144" i="2" s="1"/>
  <c r="J646" i="1"/>
  <c r="E128" i="2"/>
  <c r="E115" i="2"/>
  <c r="F661" i="1"/>
  <c r="F665" i="1" s="1"/>
  <c r="F668" i="1" s="1"/>
  <c r="E51" i="2"/>
  <c r="H661" i="1"/>
  <c r="H665" i="1" s="1"/>
  <c r="H668" i="1" s="1"/>
  <c r="H649" i="1"/>
  <c r="J649" i="1" s="1"/>
  <c r="F194" i="1"/>
  <c r="G628" i="1" s="1"/>
  <c r="J628" i="1" s="1"/>
  <c r="C81" i="2"/>
  <c r="L572" i="1"/>
  <c r="G24" i="14"/>
  <c r="H24" i="14" s="1"/>
  <c r="I24" i="14" s="1"/>
  <c r="H194" i="1"/>
  <c r="G630" i="1" s="1"/>
  <c r="J630"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<sst xmlns="http://schemas.openxmlformats.org/spreadsheetml/2006/main" count="5575" uniqueCount="1672">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</sst>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52"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1283</v>
      </c>
      <c r="B2" s="21">
        <v>369</v>
      </c>
      <c r="C2" s="21">
        <v>369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2083744.97</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v>1562.75</v>
      </c>
      <c r="H12" s="18">
        <v>32741.84</v>
      </c>
      <c r="I12" s="18"/>
      <c r="J12" s="67">
        <f>SUM(I442)</f>
        <v>1669131.2</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v>30601.84</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2083744.97</v>
      </c>
      <c r="G19" s="41">
        <f>SUM(G9:G18)</f>
        <v>1562.75</v>
      </c>
      <c r="H19" s="41">
        <f>SUM(H9:H18)</f>
        <v>63343.68</v>
      </c>
      <c r="I19" s="41">
        <f>SUM(I9:I18)</f>
        <v>0</v>
      </c>
      <c r="J19" s="41">
        <f>SUM(J9:J18)</f>
        <v>1669131.2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v>32741.84</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775982.35</v>
      </c>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775982.35</v>
      </c>
      <c r="G32" s="41">
        <f>SUM(G22:G31)</f>
        <v>0</v>
      </c>
      <c r="H32" s="41">
        <f>SUM(H22:H31)</f>
        <v>32741.84</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87400</v>
      </c>
      <c r="G36" s="18"/>
      <c r="H36" s="18">
        <v>30601.84</v>
      </c>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1562.75</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251487.5</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150000</v>
      </c>
      <c r="G48" s="18"/>
      <c r="H48" s="18"/>
      <c r="I48" s="18"/>
      <c r="J48" s="13">
        <f>SUM(I460)</f>
        <v>1669131.2</v>
      </c>
      <c r="K48" s="24" t="s">
        <v>288</v>
      </c>
      <c r="L48" s="24" t="s">
        <v>288</v>
      </c>
      <c r="M48" s="8"/>
      <c r="N48" s="264"/>
    </row>
    <row r="49" spans="1:14" s="3" customFormat="1" ht="12.2" customHeight="1" x14ac:dyDescent="0.15">
      <c r="A49" s="1" t="s">
        <v>859</v>
      </c>
      <c r="B49" s="2" t="s">
        <v>289</v>
      </c>
      <c r="C49" s="6">
        <v>34</v>
      </c>
      <c r="D49" s="2"/>
      <c r="E49" s="6">
        <v>753</v>
      </c>
      <c r="F49" s="18">
        <v>618875.12</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75000</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1307762.6200000001</v>
      </c>
      <c r="G51" s="41">
        <f>SUM(G35:G50)</f>
        <v>1562.75</v>
      </c>
      <c r="H51" s="41">
        <f>SUM(H35:H50)</f>
        <v>30601.84</v>
      </c>
      <c r="I51" s="41">
        <f>SUM(I35:I50)</f>
        <v>0</v>
      </c>
      <c r="J51" s="41">
        <f>SUM(J35:J50)</f>
        <v>1669131.2</v>
      </c>
      <c r="K51" s="45" t="s">
        <v>288</v>
      </c>
      <c r="L51" s="45" t="s">
        <v>288</v>
      </c>
      <c r="N51" s="262"/>
    </row>
    <row r="52" spans="1:14" s="3" customFormat="1" ht="12.2" customHeight="1" thickTop="1" x14ac:dyDescent="0.15">
      <c r="A52" s="38" t="s">
        <v>455</v>
      </c>
      <c r="B52" s="39" t="s">
        <v>289</v>
      </c>
      <c r="C52" s="6">
        <v>37</v>
      </c>
      <c r="D52" s="39" t="s">
        <v>653</v>
      </c>
      <c r="E52" s="39"/>
      <c r="F52" s="41">
        <f>F51+F32</f>
        <v>2083744.9700000002</v>
      </c>
      <c r="G52" s="41">
        <f>G51+G32</f>
        <v>1562.75</v>
      </c>
      <c r="H52" s="41">
        <f>H51+H32</f>
        <v>63343.68</v>
      </c>
      <c r="I52" s="41">
        <f>I51+I32</f>
        <v>0</v>
      </c>
      <c r="J52" s="41">
        <f>J51+J32</f>
        <v>1669131.2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7478941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7478941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23792.61</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61285.8</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85078.41</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9784.4500000000007</v>
      </c>
      <c r="G96" s="18"/>
      <c r="H96" s="18"/>
      <c r="I96" s="18"/>
      <c r="J96" s="18">
        <v>60899.7</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27189.22</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505336.47</v>
      </c>
      <c r="G110" s="18"/>
      <c r="H110" s="18">
        <v>6000</v>
      </c>
      <c r="I110" s="18"/>
      <c r="J110" s="18">
        <v>1608231.5</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515120.92</v>
      </c>
      <c r="G111" s="41">
        <f>SUM(G96:G110)</f>
        <v>27189.22</v>
      </c>
      <c r="H111" s="41">
        <f>SUM(H96:H110)</f>
        <v>6000</v>
      </c>
      <c r="I111" s="41">
        <f>SUM(I96:I110)</f>
        <v>0</v>
      </c>
      <c r="J111" s="41">
        <f>SUM(J96:J110)</f>
        <v>1669131.2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8079140.3300000001</v>
      </c>
      <c r="G112" s="41">
        <f>G60+G111</f>
        <v>27189.22</v>
      </c>
      <c r="H112" s="41">
        <f>H60+H79+H94+H111</f>
        <v>6000</v>
      </c>
      <c r="I112" s="41">
        <f>I60+I111</f>
        <v>0</v>
      </c>
      <c r="J112" s="41">
        <f>J60+J111</f>
        <v>1669131.2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6308270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6310265.21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165248.19</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3998.61</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2880.97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181834.72</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351081.52</v>
      </c>
      <c r="G136" s="41">
        <f>SUM(G123:G135)</f>
        <v>2880.97</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6661346.7300000004</v>
      </c>
      <c r="G140" s="41">
        <f>G121+SUM(G136:G137)</f>
        <v>2880.97</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119346.45</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60239.199999999997</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157230.43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164781.69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53633.2</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87400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53633.2</v>
      </c>
      <c r="G163" s="41">
        <f>SUM(G150:G162)</f>
        <v>157230.43</v>
      </c>
      <c r="H163" s="41">
        <f>SUM(H150:H162)</f>
        <v>431767.33999999997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53633.2</v>
      </c>
      <c r="G170" s="41">
        <f>G147+G163+SUM(G164:G169)</f>
        <v>157230.43</v>
      </c>
      <c r="H170" s="41">
        <f>H147+H163+SUM(H164:H169)</f>
        <v>431767.33999999997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75000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75000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14794120.26</v>
      </c>
      <c r="G194" s="47">
        <f>G112+G140+G170+G193</f>
        <v>187300.62</v>
      </c>
      <c r="H194" s="47">
        <f>H112+H140+H170+H193</f>
        <v>437767.33999999997</v>
      </c>
      <c r="I194" s="47">
        <f>I112+I140+I170+I193</f>
        <v>0</v>
      </c>
      <c r="J194" s="47">
        <f>J112+J140+J193</f>
        <v>1744131.2</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1201424.18</v>
      </c>
      <c r="G198" s="18">
        <v>745319.1</v>
      </c>
      <c r="H198" s="18">
        <v>166307.25</v>
      </c>
      <c r="I198" s="18">
        <v>48875.43</v>
      </c>
      <c r="J198" s="18">
        <v>1789.97</v>
      </c>
      <c r="K198" s="18">
        <v>63406</v>
      </c>
      <c r="L198" s="19">
        <f>SUM(F198:K198)</f>
        <v>2227121.9300000002</v>
      </c>
      <c r="M198" s="8"/>
      <c r="N198" s="264"/>
    </row>
    <row r="199" spans="1:14" s="3" customFormat="1" ht="12.2" customHeight="1" x14ac:dyDescent="0.15">
      <c r="A199" s="1" t="s">
        <v>439</v>
      </c>
      <c r="B199" s="2" t="s">
        <v>341</v>
      </c>
      <c r="C199" s="2" t="s">
        <v>291</v>
      </c>
      <c r="D199" s="2" t="s">
        <v>431</v>
      </c>
      <c r="E199" s="6">
        <v>1200</v>
      </c>
      <c r="F199" s="18">
        <v>585559.77</v>
      </c>
      <c r="G199" s="18">
        <v>206698.38</v>
      </c>
      <c r="H199" s="18">
        <v>298482.83</v>
      </c>
      <c r="I199" s="18">
        <v>7070.2</v>
      </c>
      <c r="J199" s="18"/>
      <c r="K199" s="18">
        <v>2439.3200000000002</v>
      </c>
      <c r="L199" s="19">
        <f>SUM(F199:K199)</f>
        <v>1100250.5</v>
      </c>
      <c r="M199" s="8"/>
      <c r="N199" s="264"/>
    </row>
    <row r="200" spans="1:14" s="3" customFormat="1" ht="12.2" customHeight="1" x14ac:dyDescent="0.15">
      <c r="A200" s="1" t="s">
        <v>440</v>
      </c>
      <c r="B200" s="2" t="s">
        <v>341</v>
      </c>
      <c r="C200" s="2" t="s">
        <v>292</v>
      </c>
      <c r="D200" s="2" t="s">
        <v>431</v>
      </c>
      <c r="E200" s="6">
        <v>1300</v>
      </c>
      <c r="F200" s="18">
        <v>5444.56</v>
      </c>
      <c r="G200" s="18">
        <v>58.71</v>
      </c>
      <c r="H200" s="18"/>
      <c r="I200" s="18">
        <v>530.67999999999995</v>
      </c>
      <c r="J200" s="18"/>
      <c r="K200" s="18"/>
      <c r="L200" s="19">
        <f>SUM(F200:K200)</f>
        <v>6033.9500000000007</v>
      </c>
      <c r="M200" s="8"/>
      <c r="N200" s="264"/>
    </row>
    <row r="201" spans="1:14" s="3" customFormat="1" ht="12.2" customHeight="1" x14ac:dyDescent="0.15">
      <c r="A201" s="1" t="s">
        <v>441</v>
      </c>
      <c r="B201" s="2" t="s">
        <v>341</v>
      </c>
      <c r="C201" s="2" t="s">
        <v>293</v>
      </c>
      <c r="D201" s="2" t="s">
        <v>431</v>
      </c>
      <c r="E201" s="6">
        <v>1400</v>
      </c>
      <c r="F201" s="18">
        <v>18430.25</v>
      </c>
      <c r="G201" s="18">
        <v>4602.76</v>
      </c>
      <c r="H201" s="18">
        <v>500</v>
      </c>
      <c r="I201" s="18">
        <v>11207.6</v>
      </c>
      <c r="J201" s="18"/>
      <c r="K201" s="18">
        <v>87.75</v>
      </c>
      <c r="L201" s="19">
        <f>SUM(F201:K201)</f>
        <v>34828.36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142991.65</v>
      </c>
      <c r="G203" s="18">
        <v>90962.95</v>
      </c>
      <c r="H203" s="18">
        <v>4711.33</v>
      </c>
      <c r="I203" s="18">
        <v>4264.34</v>
      </c>
      <c r="J203" s="18">
        <v>295.01</v>
      </c>
      <c r="K203" s="18"/>
      <c r="L203" s="19">
        <f t="shared" ref="L203:L209" si="0">SUM(F203:K203)</f>
        <v>243225.27999999997</v>
      </c>
      <c r="M203" s="8"/>
      <c r="N203" s="264"/>
    </row>
    <row r="204" spans="1:14" s="3" customFormat="1" ht="12.2" customHeight="1" x14ac:dyDescent="0.15">
      <c r="A204" s="1" t="s">
        <v>443</v>
      </c>
      <c r="B204" s="2" t="s">
        <v>341</v>
      </c>
      <c r="C204" s="2" t="s">
        <v>295</v>
      </c>
      <c r="D204" s="2" t="s">
        <v>431</v>
      </c>
      <c r="E204" s="6">
        <v>2200</v>
      </c>
      <c r="F204" s="18">
        <v>209650.57</v>
      </c>
      <c r="G204" s="18">
        <v>118948.01</v>
      </c>
      <c r="H204" s="18">
        <v>33526.82</v>
      </c>
      <c r="I204" s="18">
        <v>27052.97</v>
      </c>
      <c r="J204" s="18">
        <v>97263.42</v>
      </c>
      <c r="K204" s="18">
        <v>150</v>
      </c>
      <c r="L204" s="19">
        <f t="shared" si="0"/>
        <v>486591.79</v>
      </c>
      <c r="M204" s="8"/>
      <c r="N204" s="264"/>
    </row>
    <row r="205" spans="1:14" s="3" customFormat="1" ht="12.2" customHeight="1" x14ac:dyDescent="0.15">
      <c r="A205" s="1" t="s">
        <v>444</v>
      </c>
      <c r="B205" s="2" t="s">
        <v>341</v>
      </c>
      <c r="C205" s="2" t="s">
        <v>296</v>
      </c>
      <c r="D205" s="2" t="s">
        <v>431</v>
      </c>
      <c r="E205" s="6">
        <v>2300</v>
      </c>
      <c r="F205" s="18">
        <v>150505.68</v>
      </c>
      <c r="G205" s="18">
        <v>61770.18</v>
      </c>
      <c r="H205" s="18">
        <v>14436.89</v>
      </c>
      <c r="I205" s="18">
        <v>6434.21</v>
      </c>
      <c r="J205" s="18">
        <v>2055.29</v>
      </c>
      <c r="K205" s="18">
        <v>24501.69</v>
      </c>
      <c r="L205" s="19">
        <f t="shared" si="0"/>
        <v>259703.94</v>
      </c>
      <c r="M205" s="8"/>
      <c r="N205" s="264"/>
    </row>
    <row r="206" spans="1:14" s="3" customFormat="1" ht="12.2" customHeight="1" x14ac:dyDescent="0.15">
      <c r="A206" s="1" t="s">
        <v>445</v>
      </c>
      <c r="B206" s="2" t="s">
        <v>341</v>
      </c>
      <c r="C206" s="2" t="s">
        <v>297</v>
      </c>
      <c r="D206" s="2" t="s">
        <v>431</v>
      </c>
      <c r="E206" s="6">
        <v>2400</v>
      </c>
      <c r="F206" s="18">
        <v>172115.19</v>
      </c>
      <c r="G206" s="18">
        <v>86068.87</v>
      </c>
      <c r="H206" s="18">
        <v>4230.2299999999996</v>
      </c>
      <c r="I206" s="18">
        <v>2804.84</v>
      </c>
      <c r="J206" s="18"/>
      <c r="K206" s="18"/>
      <c r="L206" s="19">
        <f t="shared" si="0"/>
        <v>265219.13</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150984.17000000001</v>
      </c>
      <c r="G208" s="18">
        <v>92148.67</v>
      </c>
      <c r="H208" s="18">
        <v>82213.38</v>
      </c>
      <c r="I208" s="18">
        <v>125110.81</v>
      </c>
      <c r="J208" s="18">
        <v>267.14</v>
      </c>
      <c r="K208" s="18"/>
      <c r="L208" s="19">
        <f t="shared" si="0"/>
        <v>450724.17000000004</v>
      </c>
      <c r="M208" s="8"/>
      <c r="N208" s="264"/>
    </row>
    <row r="209" spans="1:14" s="3" customFormat="1" ht="12.2" customHeight="1" x14ac:dyDescent="0.15">
      <c r="A209" s="1" t="s">
        <v>448</v>
      </c>
      <c r="B209" s="2" t="s">
        <v>341</v>
      </c>
      <c r="C209" s="2" t="s">
        <v>300</v>
      </c>
      <c r="D209" s="2" t="s">
        <v>431</v>
      </c>
      <c r="E209" s="6">
        <v>2700</v>
      </c>
      <c r="F209" s="18"/>
      <c r="G209" s="18"/>
      <c r="H209" s="18">
        <v>215129.94</v>
      </c>
      <c r="I209" s="18">
        <v>142.13</v>
      </c>
      <c r="J209" s="18"/>
      <c r="K209" s="18"/>
      <c r="L209" s="19">
        <f t="shared" si="0"/>
        <v>215272.07</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2637106.02</v>
      </c>
      <c r="G212" s="41">
        <f t="shared" si="1"/>
        <v>1406577.63</v>
      </c>
      <c r="H212" s="41">
        <f t="shared" si="1"/>
        <v>819538.66999999993</v>
      </c>
      <c r="I212" s="41">
        <f t="shared" si="1"/>
        <v>233493.21000000002</v>
      </c>
      <c r="J212" s="41">
        <f t="shared" si="1"/>
        <v>101670.82999999999</v>
      </c>
      <c r="K212" s="41">
        <f t="shared" si="1"/>
        <v>90584.760000000009</v>
      </c>
      <c r="L212" s="41">
        <f t="shared" si="1"/>
        <v>5288971.12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795052.76</v>
      </c>
      <c r="G216" s="18">
        <v>392899.66</v>
      </c>
      <c r="H216" s="18">
        <v>2611.7800000000002</v>
      </c>
      <c r="I216" s="18">
        <v>34402.300000000003</v>
      </c>
      <c r="J216" s="18">
        <v>6548.71</v>
      </c>
      <c r="K216" s="18"/>
      <c r="L216" s="19">
        <f>SUM(F216:K216)</f>
        <v>1231515.21</v>
      </c>
      <c r="M216" s="8"/>
      <c r="N216" s="264"/>
    </row>
    <row r="217" spans="1:14" s="3" customFormat="1" ht="12.2" customHeight="1" x14ac:dyDescent="0.15">
      <c r="A217" s="1" t="s">
        <v>439</v>
      </c>
      <c r="B217" s="2" t="s">
        <v>346</v>
      </c>
      <c r="C217" s="2" t="s">
        <v>291</v>
      </c>
      <c r="D217" s="2" t="s">
        <v>431</v>
      </c>
      <c r="E217" s="6">
        <v>1200</v>
      </c>
      <c r="F217" s="18">
        <v>369045.55</v>
      </c>
      <c r="G217" s="18">
        <v>119471.54</v>
      </c>
      <c r="H217" s="18">
        <v>70699.78</v>
      </c>
      <c r="I217" s="18">
        <v>2173.79</v>
      </c>
      <c r="J217" s="18"/>
      <c r="K217" s="18">
        <v>2509.2800000000002</v>
      </c>
      <c r="L217" s="19">
        <f>SUM(F217:K217)</f>
        <v>563899.94000000006</v>
      </c>
      <c r="M217" s="8"/>
      <c r="N217" s="264"/>
    </row>
    <row r="218" spans="1:14" s="3" customFormat="1" ht="12.2" customHeight="1" x14ac:dyDescent="0.15">
      <c r="A218" s="1" t="s">
        <v>440</v>
      </c>
      <c r="B218" s="2" t="s">
        <v>346</v>
      </c>
      <c r="C218" s="2" t="s">
        <v>292</v>
      </c>
      <c r="D218" s="2" t="s">
        <v>431</v>
      </c>
      <c r="E218" s="6">
        <v>1300</v>
      </c>
      <c r="F218" s="18">
        <v>3751.15</v>
      </c>
      <c r="G218" s="18">
        <v>40.51</v>
      </c>
      <c r="H218" s="18"/>
      <c r="I218" s="18">
        <v>6193.49</v>
      </c>
      <c r="J218" s="18"/>
      <c r="K218" s="18"/>
      <c r="L218" s="19">
        <f>SUM(F218:K218)</f>
        <v>9985.15</v>
      </c>
      <c r="M218" s="8"/>
      <c r="N218" s="264"/>
    </row>
    <row r="219" spans="1:14" s="3" customFormat="1" ht="12.2" customHeight="1" x14ac:dyDescent="0.15">
      <c r="A219" s="1" t="s">
        <v>441</v>
      </c>
      <c r="B219" s="2" t="s">
        <v>346</v>
      </c>
      <c r="C219" s="2" t="s">
        <v>293</v>
      </c>
      <c r="D219" s="2" t="s">
        <v>431</v>
      </c>
      <c r="E219" s="6">
        <v>1400</v>
      </c>
      <c r="F219" s="18">
        <v>23203.86</v>
      </c>
      <c r="G219" s="18">
        <v>3377.4</v>
      </c>
      <c r="H219" s="18">
        <v>4058</v>
      </c>
      <c r="I219" s="18">
        <v>14126.4</v>
      </c>
      <c r="J219" s="18"/>
      <c r="K219" s="18">
        <v>724.75</v>
      </c>
      <c r="L219" s="19">
        <f>SUM(F219:K219)</f>
        <v>45490.41</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104487.59</v>
      </c>
      <c r="G221" s="18">
        <v>58396.53</v>
      </c>
      <c r="H221" s="18">
        <v>15333.72</v>
      </c>
      <c r="I221" s="18">
        <v>133.79</v>
      </c>
      <c r="J221" s="18"/>
      <c r="K221" s="18"/>
      <c r="L221" s="19">
        <f t="shared" ref="L221:L227" si="2">SUM(F221:K221)</f>
        <v>178351.63</v>
      </c>
      <c r="M221" s="8"/>
      <c r="N221" s="264"/>
    </row>
    <row r="222" spans="1:14" s="3" customFormat="1" ht="12.2" customHeight="1" x14ac:dyDescent="0.15">
      <c r="A222" s="1" t="s">
        <v>443</v>
      </c>
      <c r="B222" s="2" t="s">
        <v>346</v>
      </c>
      <c r="C222" s="2" t="s">
        <v>295</v>
      </c>
      <c r="D222" s="2" t="s">
        <v>431</v>
      </c>
      <c r="E222" s="6">
        <v>2200</v>
      </c>
      <c r="F222" s="18">
        <v>133595.20000000001</v>
      </c>
      <c r="G222" s="18">
        <v>96536.55</v>
      </c>
      <c r="H222" s="18">
        <v>23893.68</v>
      </c>
      <c r="I222" s="18">
        <v>25716.1</v>
      </c>
      <c r="J222" s="18">
        <v>34949.19</v>
      </c>
      <c r="K222" s="18">
        <v>388</v>
      </c>
      <c r="L222" s="19">
        <f t="shared" si="2"/>
        <v>315078.71999999997</v>
      </c>
      <c r="M222" s="8"/>
      <c r="N222" s="264"/>
    </row>
    <row r="223" spans="1:14" s="3" customFormat="1" ht="12.2" customHeight="1" x14ac:dyDescent="0.15">
      <c r="A223" s="1" t="s">
        <v>444</v>
      </c>
      <c r="B223" s="2" t="s">
        <v>346</v>
      </c>
      <c r="C223" s="2" t="s">
        <v>296</v>
      </c>
      <c r="D223" s="2" t="s">
        <v>431</v>
      </c>
      <c r="E223" s="6">
        <v>2300</v>
      </c>
      <c r="F223" s="18">
        <v>106565.58</v>
      </c>
      <c r="G223" s="18">
        <v>42993.45</v>
      </c>
      <c r="H223" s="18">
        <v>9434.48</v>
      </c>
      <c r="I223" s="18">
        <v>4339.99</v>
      </c>
      <c r="J223" s="18">
        <v>1445.49</v>
      </c>
      <c r="K223" s="18">
        <v>4262.82</v>
      </c>
      <c r="L223" s="19">
        <f t="shared" si="2"/>
        <v>169041.81</v>
      </c>
      <c r="M223" s="8"/>
      <c r="N223" s="264"/>
    </row>
    <row r="224" spans="1:14" s="3" customFormat="1" ht="12.2" customHeight="1" x14ac:dyDescent="0.15">
      <c r="A224" s="1" t="s">
        <v>445</v>
      </c>
      <c r="B224" s="2" t="s">
        <v>346</v>
      </c>
      <c r="C224" s="2" t="s">
        <v>297</v>
      </c>
      <c r="D224" s="2" t="s">
        <v>431</v>
      </c>
      <c r="E224" s="6">
        <v>2400</v>
      </c>
      <c r="F224" s="18">
        <v>142381.14000000001</v>
      </c>
      <c r="G224" s="18">
        <v>65287.88</v>
      </c>
      <c r="H224" s="18">
        <v>2083.8000000000002</v>
      </c>
      <c r="I224" s="18">
        <v>75.459999999999994</v>
      </c>
      <c r="J224" s="18"/>
      <c r="K224" s="18"/>
      <c r="L224" s="19">
        <f t="shared" si="2"/>
        <v>209828.28</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100785.01</v>
      </c>
      <c r="G226" s="18">
        <v>63647.78</v>
      </c>
      <c r="H226" s="18">
        <v>65991.070000000007</v>
      </c>
      <c r="I226" s="18">
        <v>85223.99</v>
      </c>
      <c r="J226" s="18">
        <v>184.94</v>
      </c>
      <c r="K226" s="18"/>
      <c r="L226" s="19">
        <f t="shared" si="2"/>
        <v>315832.78999999998</v>
      </c>
      <c r="M226" s="8"/>
      <c r="N226" s="264"/>
    </row>
    <row r="227" spans="1:14" s="3" customFormat="1" ht="12.2" customHeight="1" x14ac:dyDescent="0.15">
      <c r="A227" s="1" t="s">
        <v>448</v>
      </c>
      <c r="B227" s="2" t="s">
        <v>346</v>
      </c>
      <c r="C227" s="2" t="s">
        <v>300</v>
      </c>
      <c r="D227" s="2" t="s">
        <v>431</v>
      </c>
      <c r="E227" s="6">
        <v>2700</v>
      </c>
      <c r="F227" s="18"/>
      <c r="G227" s="18"/>
      <c r="H227" s="18">
        <v>122162.23</v>
      </c>
      <c r="I227" s="18">
        <v>91.93</v>
      </c>
      <c r="J227" s="18"/>
      <c r="K227" s="18"/>
      <c r="L227" s="19">
        <f t="shared" si="2"/>
        <v>122254.15999999999</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1778867.84</v>
      </c>
      <c r="G230" s="41">
        <f>SUM(G216:G229)</f>
        <v>842651.3</v>
      </c>
      <c r="H230" s="41">
        <f>SUM(H216:H229)</f>
        <v>316268.53999999998</v>
      </c>
      <c r="I230" s="41">
        <f>SUM(I216:I229)</f>
        <v>172477.24</v>
      </c>
      <c r="J230" s="41">
        <f>SUM(J216:J229)</f>
        <v>43128.33</v>
      </c>
      <c r="K230" s="41">
        <f t="shared" si="3"/>
        <v>7884.85</v>
      </c>
      <c r="L230" s="41">
        <f t="shared" si="3"/>
        <v>3161278.0999999996</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1241695.17</v>
      </c>
      <c r="G234" s="18">
        <v>603934.5</v>
      </c>
      <c r="H234" s="18">
        <v>5100.68</v>
      </c>
      <c r="I234" s="18">
        <v>42033.03</v>
      </c>
      <c r="J234" s="18">
        <v>16325.85</v>
      </c>
      <c r="K234" s="18"/>
      <c r="L234" s="19">
        <f>SUM(F234:K234)</f>
        <v>1909089.23</v>
      </c>
      <c r="M234" s="8"/>
      <c r="N234" s="264"/>
    </row>
    <row r="235" spans="1:14" s="3" customFormat="1" ht="12.2" customHeight="1" x14ac:dyDescent="0.15">
      <c r="A235" s="1" t="s">
        <v>439</v>
      </c>
      <c r="B235" s="2" t="s">
        <v>350</v>
      </c>
      <c r="C235" s="2" t="s">
        <v>291</v>
      </c>
      <c r="D235" s="2" t="s">
        <v>431</v>
      </c>
      <c r="E235" s="6">
        <v>1200</v>
      </c>
      <c r="F235" s="18">
        <v>533503.25</v>
      </c>
      <c r="G235" s="18">
        <v>192165.52</v>
      </c>
      <c r="H235" s="18">
        <v>334655.28999999998</v>
      </c>
      <c r="I235" s="18">
        <v>1733.27</v>
      </c>
      <c r="J235" s="18">
        <v>538.98</v>
      </c>
      <c r="K235" s="18">
        <v>1655.15</v>
      </c>
      <c r="L235" s="19">
        <f>SUM(F235:K235)</f>
        <v>1064251.46</v>
      </c>
      <c r="M235" s="8"/>
      <c r="N235" s="264"/>
    </row>
    <row r="236" spans="1:14" s="3" customFormat="1" ht="12.2" customHeight="1" x14ac:dyDescent="0.15">
      <c r="A236" s="1" t="s">
        <v>440</v>
      </c>
      <c r="B236" s="2" t="s">
        <v>350</v>
      </c>
      <c r="C236" s="2" t="s">
        <v>292</v>
      </c>
      <c r="D236" s="2" t="s">
        <v>431</v>
      </c>
      <c r="E236" s="6">
        <v>1300</v>
      </c>
      <c r="F236" s="18">
        <v>4704.32</v>
      </c>
      <c r="G236" s="18">
        <v>50.6</v>
      </c>
      <c r="H236" s="18">
        <v>32764.09</v>
      </c>
      <c r="I236" s="18">
        <v>1871.46</v>
      </c>
      <c r="J236" s="18"/>
      <c r="K236" s="18"/>
      <c r="L236" s="19">
        <f>SUM(F236:K236)</f>
        <v>39390.47</v>
      </c>
      <c r="M236" s="8"/>
      <c r="N236" s="264"/>
    </row>
    <row r="237" spans="1:14" s="3" customFormat="1" ht="12.2" customHeight="1" x14ac:dyDescent="0.15">
      <c r="A237" s="1" t="s">
        <v>441</v>
      </c>
      <c r="B237" s="2" t="s">
        <v>350</v>
      </c>
      <c r="C237" s="2" t="s">
        <v>293</v>
      </c>
      <c r="D237" s="2" t="s">
        <v>431</v>
      </c>
      <c r="E237" s="6">
        <v>1400</v>
      </c>
      <c r="F237" s="18">
        <v>99925.52</v>
      </c>
      <c r="G237" s="18">
        <v>19446.59</v>
      </c>
      <c r="H237" s="18">
        <v>8354</v>
      </c>
      <c r="I237" s="18">
        <v>32836</v>
      </c>
      <c r="J237" s="18"/>
      <c r="K237" s="18">
        <v>10070.870000000001</v>
      </c>
      <c r="L237" s="19">
        <f>SUM(F237:K237)</f>
        <v>170632.97999999998</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153785.84</v>
      </c>
      <c r="G239" s="18">
        <v>84782.16</v>
      </c>
      <c r="H239" s="18">
        <v>3763.15</v>
      </c>
      <c r="I239" s="18">
        <v>1768.05</v>
      </c>
      <c r="J239" s="18">
        <v>1219.99</v>
      </c>
      <c r="K239" s="18"/>
      <c r="L239" s="19">
        <f t="shared" ref="L239:L245" si="4">SUM(F239:K239)</f>
        <v>245319.18999999997</v>
      </c>
      <c r="M239" s="8"/>
      <c r="N239" s="264"/>
    </row>
    <row r="240" spans="1:14" s="3" customFormat="1" ht="12.2" customHeight="1" x14ac:dyDescent="0.15">
      <c r="A240" s="1" t="s">
        <v>443</v>
      </c>
      <c r="B240" s="2" t="s">
        <v>350</v>
      </c>
      <c r="C240" s="2" t="s">
        <v>295</v>
      </c>
      <c r="D240" s="2" t="s">
        <v>431</v>
      </c>
      <c r="E240" s="6">
        <v>2200</v>
      </c>
      <c r="F240" s="18">
        <v>193879.17</v>
      </c>
      <c r="G240" s="18">
        <v>107341.62</v>
      </c>
      <c r="H240" s="18">
        <v>39616.160000000003</v>
      </c>
      <c r="I240" s="18">
        <v>26104.7</v>
      </c>
      <c r="J240" s="18">
        <v>39647.480000000003</v>
      </c>
      <c r="K240" s="18">
        <v>4870</v>
      </c>
      <c r="L240" s="19">
        <f t="shared" si="4"/>
        <v>411459.13000000006</v>
      </c>
      <c r="M240" s="8"/>
      <c r="N240" s="264"/>
    </row>
    <row r="241" spans="1:14" s="3" customFormat="1" ht="12.2" customHeight="1" x14ac:dyDescent="0.15">
      <c r="A241" s="1" t="s">
        <v>444</v>
      </c>
      <c r="B241" s="2" t="s">
        <v>350</v>
      </c>
      <c r="C241" s="2" t="s">
        <v>296</v>
      </c>
      <c r="D241" s="2" t="s">
        <v>431</v>
      </c>
      <c r="E241" s="6">
        <v>2300</v>
      </c>
      <c r="F241" s="18">
        <v>132409.28</v>
      </c>
      <c r="G241" s="18">
        <v>53995.77</v>
      </c>
      <c r="H241" s="18">
        <v>12999.39</v>
      </c>
      <c r="I241" s="18">
        <v>5523.35</v>
      </c>
      <c r="J241" s="18">
        <v>1661.03</v>
      </c>
      <c r="K241" s="18">
        <v>5271.13</v>
      </c>
      <c r="L241" s="19">
        <f t="shared" si="4"/>
        <v>211859.95</v>
      </c>
      <c r="M241" s="8"/>
      <c r="N241" s="264"/>
    </row>
    <row r="242" spans="1:14" s="3" customFormat="1" ht="12.2" customHeight="1" x14ac:dyDescent="0.15">
      <c r="A242" s="1" t="s">
        <v>445</v>
      </c>
      <c r="B242" s="2" t="s">
        <v>350</v>
      </c>
      <c r="C242" s="2" t="s">
        <v>297</v>
      </c>
      <c r="D242" s="2" t="s">
        <v>431</v>
      </c>
      <c r="E242" s="6">
        <v>2400</v>
      </c>
      <c r="F242" s="18">
        <v>161654.91</v>
      </c>
      <c r="G242" s="18">
        <v>78875.27</v>
      </c>
      <c r="H242" s="18">
        <v>16078.39</v>
      </c>
      <c r="I242" s="18">
        <v>173.23</v>
      </c>
      <c r="J242" s="18"/>
      <c r="K242" s="18">
        <v>9044.4</v>
      </c>
      <c r="L242" s="19">
        <f t="shared" si="4"/>
        <v>265826.2</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137276.91</v>
      </c>
      <c r="G244" s="18">
        <v>80806.600000000006</v>
      </c>
      <c r="H244" s="18">
        <v>81803.839999999997</v>
      </c>
      <c r="I244" s="18">
        <v>106751.4</v>
      </c>
      <c r="J244" s="18">
        <v>232.89</v>
      </c>
      <c r="K244" s="18"/>
      <c r="L244" s="19">
        <f t="shared" si="4"/>
        <v>406871.64</v>
      </c>
      <c r="M244" s="8"/>
      <c r="N244" s="264"/>
    </row>
    <row r="245" spans="1:14" s="3" customFormat="1" ht="12.2" customHeight="1" x14ac:dyDescent="0.15">
      <c r="A245" s="1" t="s">
        <v>448</v>
      </c>
      <c r="B245" s="2" t="s">
        <v>350</v>
      </c>
      <c r="C245" s="2" t="s">
        <v>300</v>
      </c>
      <c r="D245" s="2" t="s">
        <v>431</v>
      </c>
      <c r="E245" s="6">
        <v>2700</v>
      </c>
      <c r="F245" s="18"/>
      <c r="G245" s="18"/>
      <c r="H245" s="18">
        <v>199818.06</v>
      </c>
      <c r="I245" s="18">
        <v>97.87</v>
      </c>
      <c r="J245" s="18"/>
      <c r="K245" s="18"/>
      <c r="L245" s="19">
        <f t="shared" si="4"/>
        <v>199915.93</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2658834.37</v>
      </c>
      <c r="G248" s="41">
        <f t="shared" si="5"/>
        <v>1221398.6300000001</v>
      </c>
      <c r="H248" s="41">
        <f t="shared" si="5"/>
        <v>734953.05</v>
      </c>
      <c r="I248" s="41">
        <f t="shared" si="5"/>
        <v>218892.36</v>
      </c>
      <c r="J248" s="41">
        <f t="shared" si="5"/>
        <v>59626.22</v>
      </c>
      <c r="K248" s="41">
        <f t="shared" si="5"/>
        <v>30911.550000000003</v>
      </c>
      <c r="L248" s="41">
        <f t="shared" si="5"/>
        <v>4924616.18</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v>31007.7</v>
      </c>
      <c r="G254" s="18">
        <v>2186.64</v>
      </c>
      <c r="H254" s="18">
        <v>498.84</v>
      </c>
      <c r="I254" s="18">
        <v>449.06</v>
      </c>
      <c r="J254" s="18">
        <v>2350</v>
      </c>
      <c r="K254" s="18"/>
      <c r="L254" s="19">
        <f t="shared" si="6"/>
        <v>36492.239999999998</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31007.7</v>
      </c>
      <c r="G257" s="41">
        <f t="shared" si="7"/>
        <v>2186.64</v>
      </c>
      <c r="H257" s="41">
        <f t="shared" si="7"/>
        <v>498.84</v>
      </c>
      <c r="I257" s="41">
        <f t="shared" si="7"/>
        <v>449.06</v>
      </c>
      <c r="J257" s="41">
        <f t="shared" si="7"/>
        <v>2350</v>
      </c>
      <c r="K257" s="41">
        <f t="shared" si="7"/>
        <v>0</v>
      </c>
      <c r="L257" s="41">
        <f>SUM(F257:K257)</f>
        <v>36492.239999999998</v>
      </c>
      <c r="M257" s="8"/>
      <c r="N257" s="264"/>
    </row>
    <row r="258" spans="1:14" s="3" customFormat="1" ht="12.2" customHeight="1" thickTop="1" x14ac:dyDescent="0.15">
      <c r="A258" s="38" t="s">
        <v>462</v>
      </c>
      <c r="B258" s="40">
        <v>10</v>
      </c>
      <c r="C258" s="40">
        <v>8</v>
      </c>
      <c r="D258" s="39" t="s">
        <v>431</v>
      </c>
      <c r="E258" s="40"/>
      <c r="F258" s="41">
        <f t="shared" ref="F258:L258" si="8">F212+F230+F248+F257</f>
        <v>7105815.9300000006</v>
      </c>
      <c r="G258" s="41">
        <f t="shared" si="8"/>
        <v>3472814.1999999997</v>
      </c>
      <c r="H258" s="41">
        <f t="shared" si="8"/>
        <v>1871259.1</v>
      </c>
      <c r="I258" s="41">
        <f t="shared" si="8"/>
        <v>625311.87000000011</v>
      </c>
      <c r="J258" s="41">
        <f t="shared" si="8"/>
        <v>206775.37999999998</v>
      </c>
      <c r="K258" s="41">
        <f t="shared" si="8"/>
        <v>129381.16000000002</v>
      </c>
      <c r="L258" s="41">
        <f t="shared" si="8"/>
        <v>13411357.639999999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75000</v>
      </c>
      <c r="L271" s="41">
        <f t="shared" si="9"/>
        <v>75000</v>
      </c>
      <c r="M271" s="8"/>
      <c r="N271" s="264"/>
    </row>
    <row r="272" spans="1:14" s="34" customFormat="1" ht="12.2" customHeight="1" thickTop="1" x14ac:dyDescent="0.2">
      <c r="A272" s="43" t="s">
        <v>464</v>
      </c>
      <c r="B272" s="40">
        <v>10</v>
      </c>
      <c r="C272" s="40">
        <v>18</v>
      </c>
      <c r="D272" s="39" t="s">
        <v>431</v>
      </c>
      <c r="E272" s="40"/>
      <c r="F272" s="42">
        <f t="shared" ref="F272:L272" si="11">F258+F271</f>
        <v>7105815.9300000006</v>
      </c>
      <c r="G272" s="42">
        <f t="shared" si="11"/>
        <v>3472814.1999999997</v>
      </c>
      <c r="H272" s="42">
        <f t="shared" si="11"/>
        <v>1871259.1</v>
      </c>
      <c r="I272" s="42">
        <f t="shared" si="11"/>
        <v>625311.87000000011</v>
      </c>
      <c r="J272" s="42">
        <f t="shared" si="11"/>
        <v>206775.37999999998</v>
      </c>
      <c r="K272" s="42">
        <f t="shared" si="11"/>
        <v>204381.16000000003</v>
      </c>
      <c r="L272" s="42">
        <f t="shared" si="11"/>
        <v>13486357.639999999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47939.93</v>
      </c>
      <c r="G277" s="18">
        <v>7951.27</v>
      </c>
      <c r="H277" s="18">
        <v>16693.43</v>
      </c>
      <c r="I277" s="18">
        <v>10266.67</v>
      </c>
      <c r="J277" s="18">
        <v>20144.259999999998</v>
      </c>
      <c r="K277" s="18"/>
      <c r="L277" s="19">
        <f>SUM(F277:K277)</f>
        <v>102995.56</v>
      </c>
      <c r="M277" s="8"/>
      <c r="N277" s="264"/>
    </row>
    <row r="278" spans="1:14" s="3" customFormat="1" ht="12.2" customHeight="1" x14ac:dyDescent="0.15">
      <c r="A278" s="1" t="s">
        <v>439</v>
      </c>
      <c r="B278" s="2" t="s">
        <v>357</v>
      </c>
      <c r="C278" s="2" t="s">
        <v>291</v>
      </c>
      <c r="D278" s="2" t="s">
        <v>431</v>
      </c>
      <c r="E278" s="6">
        <v>1200</v>
      </c>
      <c r="F278" s="18">
        <v>6470.75</v>
      </c>
      <c r="G278" s="18"/>
      <c r="H278" s="18">
        <v>97615.1</v>
      </c>
      <c r="I278" s="18">
        <v>564.05999999999995</v>
      </c>
      <c r="J278" s="18">
        <v>449</v>
      </c>
      <c r="K278" s="18"/>
      <c r="L278" s="19">
        <f>SUM(F278:K278)</f>
        <v>105098.91</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v>6461.86</v>
      </c>
      <c r="J282" s="18">
        <v>2364.19</v>
      </c>
      <c r="K282" s="18"/>
      <c r="L282" s="19">
        <f t="shared" ref="L282:L288" si="12">SUM(F282:K282)</f>
        <v>8826.0499999999993</v>
      </c>
      <c r="M282" s="8"/>
      <c r="N282" s="264"/>
    </row>
    <row r="283" spans="1:14" s="3" customFormat="1" ht="12.2" customHeight="1" x14ac:dyDescent="0.15">
      <c r="A283" s="1" t="s">
        <v>443</v>
      </c>
      <c r="B283" s="2" t="s">
        <v>357</v>
      </c>
      <c r="C283" s="2" t="s">
        <v>295</v>
      </c>
      <c r="D283" s="2" t="s">
        <v>431</v>
      </c>
      <c r="E283" s="6">
        <v>2200</v>
      </c>
      <c r="F283" s="18">
        <v>7178.86</v>
      </c>
      <c r="G283" s="18"/>
      <c r="H283" s="18">
        <v>15428.41</v>
      </c>
      <c r="I283" s="18">
        <v>248</v>
      </c>
      <c r="J283" s="18"/>
      <c r="K283" s="18"/>
      <c r="L283" s="19">
        <f t="shared" si="12"/>
        <v>22855.27</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61589.54</v>
      </c>
      <c r="G291" s="42">
        <f t="shared" si="13"/>
        <v>7951.27</v>
      </c>
      <c r="H291" s="42">
        <f t="shared" si="13"/>
        <v>129736.94</v>
      </c>
      <c r="I291" s="42">
        <f t="shared" si="13"/>
        <v>17540.59</v>
      </c>
      <c r="J291" s="42">
        <f t="shared" si="13"/>
        <v>22957.449999999997</v>
      </c>
      <c r="K291" s="42">
        <f t="shared" si="13"/>
        <v>0</v>
      </c>
      <c r="L291" s="41">
        <f t="shared" si="13"/>
        <v>239775.78999999998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v>14193.34</v>
      </c>
      <c r="I296" s="18">
        <v>8397.4</v>
      </c>
      <c r="J296" s="18">
        <v>20144.259999999998</v>
      </c>
      <c r="K296" s="18"/>
      <c r="L296" s="19">
        <f>SUM(F296:K296)</f>
        <v>42735</v>
      </c>
      <c r="M296" s="8"/>
      <c r="N296" s="264"/>
    </row>
    <row r="297" spans="1:14" s="3" customFormat="1" ht="12.2" customHeight="1" x14ac:dyDescent="0.15">
      <c r="A297" s="1" t="s">
        <v>439</v>
      </c>
      <c r="B297" s="2" t="s">
        <v>358</v>
      </c>
      <c r="C297" s="2" t="s">
        <v>291</v>
      </c>
      <c r="D297" s="2" t="s">
        <v>431</v>
      </c>
      <c r="E297" s="6">
        <v>1200</v>
      </c>
      <c r="F297" s="18"/>
      <c r="G297" s="18"/>
      <c r="H297" s="18"/>
      <c r="I297" s="18">
        <v>564.05999999999995</v>
      </c>
      <c r="J297" s="18"/>
      <c r="K297" s="18"/>
      <c r="L297" s="19">
        <f>SUM(F297:K297)</f>
        <v>564.05999999999995</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v>6461.85</v>
      </c>
      <c r="J301" s="18">
        <v>2364.19</v>
      </c>
      <c r="K301" s="18"/>
      <c r="L301" s="19">
        <f t="shared" ref="L301:L307" si="14">SUM(F301:K301)</f>
        <v>8826.0400000000009</v>
      </c>
      <c r="M301" s="8"/>
      <c r="N301" s="264"/>
    </row>
    <row r="302" spans="1:14" s="3" customFormat="1" ht="12.2" customHeight="1" x14ac:dyDescent="0.15">
      <c r="A302" s="1" t="s">
        <v>443</v>
      </c>
      <c r="B302" s="2" t="s">
        <v>358</v>
      </c>
      <c r="C302" s="2" t="s">
        <v>295</v>
      </c>
      <c r="D302" s="2" t="s">
        <v>431</v>
      </c>
      <c r="E302" s="6">
        <v>2200</v>
      </c>
      <c r="F302" s="18">
        <v>7178.86</v>
      </c>
      <c r="G302" s="18"/>
      <c r="H302" s="18">
        <v>14398.42</v>
      </c>
      <c r="I302" s="18">
        <v>248</v>
      </c>
      <c r="J302" s="18"/>
      <c r="K302" s="18"/>
      <c r="L302" s="19">
        <f t="shared" si="14"/>
        <v>21825.279999999999</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7178.86</v>
      </c>
      <c r="G310" s="42">
        <f t="shared" si="15"/>
        <v>0</v>
      </c>
      <c r="H310" s="42">
        <f t="shared" si="15"/>
        <v>28591.760000000002</v>
      </c>
      <c r="I310" s="42">
        <f t="shared" si="15"/>
        <v>15671.31</v>
      </c>
      <c r="J310" s="42">
        <f t="shared" si="15"/>
        <v>22508.449999999997</v>
      </c>
      <c r="K310" s="42">
        <f t="shared" si="15"/>
        <v>0</v>
      </c>
      <c r="L310" s="41">
        <f t="shared" si="15"/>
        <v>73950.38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9769.18</v>
      </c>
      <c r="G315" s="18">
        <v>747.33</v>
      </c>
      <c r="H315" s="18">
        <v>14193.34</v>
      </c>
      <c r="I315" s="18">
        <v>6753.19</v>
      </c>
      <c r="J315" s="18">
        <v>20144.259999999998</v>
      </c>
      <c r="K315" s="18"/>
      <c r="L315" s="19">
        <f>SUM(F315:K315)</f>
        <v>51607.299999999996</v>
      </c>
      <c r="M315" s="8"/>
      <c r="N315" s="264"/>
    </row>
    <row r="316" spans="1:14" s="3" customFormat="1" ht="12.2" customHeight="1" x14ac:dyDescent="0.15">
      <c r="A316" s="1" t="s">
        <v>439</v>
      </c>
      <c r="B316" s="2" t="s">
        <v>359</v>
      </c>
      <c r="C316" s="2" t="s">
        <v>291</v>
      </c>
      <c r="D316" s="2" t="s">
        <v>431</v>
      </c>
      <c r="E316" s="6">
        <v>1200</v>
      </c>
      <c r="F316" s="18"/>
      <c r="G316" s="18"/>
      <c r="H316" s="18">
        <v>10961.99</v>
      </c>
      <c r="I316" s="18"/>
      <c r="J316" s="18"/>
      <c r="K316" s="18"/>
      <c r="L316" s="19">
        <f>SUM(F316:K316)</f>
        <v>10961.99</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v>6431.84</v>
      </c>
      <c r="J320" s="18">
        <v>2364.19</v>
      </c>
      <c r="K320" s="18"/>
      <c r="L320" s="19">
        <f t="shared" ref="L320:L326" si="16">SUM(F320:K320)</f>
        <v>8796.0300000000007</v>
      </c>
      <c r="M320" s="8"/>
      <c r="N320" s="264"/>
    </row>
    <row r="321" spans="1:14" s="3" customFormat="1" ht="12.2" customHeight="1" x14ac:dyDescent="0.15">
      <c r="A321" s="1" t="s">
        <v>443</v>
      </c>
      <c r="B321" s="2" t="s">
        <v>359</v>
      </c>
      <c r="C321" s="2" t="s">
        <v>295</v>
      </c>
      <c r="D321" s="2" t="s">
        <v>431</v>
      </c>
      <c r="E321" s="6">
        <v>2200</v>
      </c>
      <c r="F321" s="18">
        <v>7178.87</v>
      </c>
      <c r="G321" s="18"/>
      <c r="H321" s="18">
        <v>14398.4</v>
      </c>
      <c r="I321" s="18">
        <v>496.74</v>
      </c>
      <c r="J321" s="18"/>
      <c r="K321" s="18"/>
      <c r="L321" s="19">
        <f t="shared" si="16"/>
        <v>22074.010000000002</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16948.05</v>
      </c>
      <c r="G329" s="42">
        <f t="shared" si="17"/>
        <v>747.33</v>
      </c>
      <c r="H329" s="42">
        <f t="shared" si="17"/>
        <v>39553.730000000003</v>
      </c>
      <c r="I329" s="42">
        <f t="shared" si="17"/>
        <v>13681.769999999999</v>
      </c>
      <c r="J329" s="42">
        <f t="shared" si="17"/>
        <v>22508.449999999997</v>
      </c>
      <c r="K329" s="42">
        <f t="shared" si="17"/>
        <v>0</v>
      </c>
      <c r="L329" s="41">
        <f t="shared" si="17"/>
        <v>93439.329999999987</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85716.45</v>
      </c>
      <c r="G339" s="41">
        <f t="shared" si="20"/>
        <v>8698.6</v>
      </c>
      <c r="H339" s="41">
        <f t="shared" si="20"/>
        <v>197882.43000000002</v>
      </c>
      <c r="I339" s="41">
        <f t="shared" si="20"/>
        <v>46893.67</v>
      </c>
      <c r="J339" s="41">
        <f t="shared" si="20"/>
        <v>67974.349999999991</v>
      </c>
      <c r="K339" s="41">
        <f t="shared" si="20"/>
        <v>0</v>
      </c>
      <c r="L339" s="41">
        <f t="shared" si="20"/>
        <v>407165.5</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85716.45</v>
      </c>
      <c r="G353" s="41">
        <f>G339</f>
        <v>8698.6</v>
      </c>
      <c r="H353" s="41">
        <f>H339</f>
        <v>197882.43000000002</v>
      </c>
      <c r="I353" s="41">
        <f>I339</f>
        <v>46893.67</v>
      </c>
      <c r="J353" s="41">
        <f>J339</f>
        <v>67974.349999999991</v>
      </c>
      <c r="K353" s="47">
        <f>K339+K352</f>
        <v>0</v>
      </c>
      <c r="L353" s="41">
        <f>L339+L352</f>
        <v>407165.5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72694.710000000006</v>
      </c>
      <c r="I359" s="18">
        <v>57.22</v>
      </c>
      <c r="J359" s="18"/>
      <c r="K359" s="18"/>
      <c r="L359" s="13">
        <f>SUM(F359:K359)</f>
        <v>72751.930000000008</v>
      </c>
      <c r="M359" s="8"/>
      <c r="N359" s="264"/>
    </row>
    <row r="360" spans="1:22" s="3" customFormat="1" ht="12.2" customHeight="1" x14ac:dyDescent="0.15">
      <c r="A360" s="1" t="s">
        <v>542</v>
      </c>
      <c r="B360" s="2" t="s">
        <v>366</v>
      </c>
      <c r="C360" s="6">
        <v>2</v>
      </c>
      <c r="D360" s="2" t="s">
        <v>431</v>
      </c>
      <c r="E360" s="6"/>
      <c r="F360" s="18"/>
      <c r="G360" s="18"/>
      <c r="H360" s="18">
        <v>50484.2</v>
      </c>
      <c r="I360" s="18">
        <v>39.619999999999997</v>
      </c>
      <c r="J360" s="18"/>
      <c r="K360" s="18"/>
      <c r="L360" s="19">
        <f>SUM(F360:K360)</f>
        <v>50523.82</v>
      </c>
      <c r="M360" s="8"/>
      <c r="N360" s="264"/>
    </row>
    <row r="361" spans="1:22" s="3" customFormat="1" ht="12.2" customHeight="1" x14ac:dyDescent="0.15">
      <c r="A361" s="3" t="s">
        <v>543</v>
      </c>
      <c r="B361" s="2" t="s">
        <v>366</v>
      </c>
      <c r="C361" s="6">
        <v>3</v>
      </c>
      <c r="D361" s="2" t="s">
        <v>431</v>
      </c>
      <c r="E361" s="6"/>
      <c r="F361" s="18"/>
      <c r="G361" s="18"/>
      <c r="H361" s="18">
        <v>62412.23</v>
      </c>
      <c r="I361" s="18">
        <v>49.89</v>
      </c>
      <c r="J361" s="18"/>
      <c r="K361" s="18"/>
      <c r="L361" s="19">
        <f>SUM(F361:K361)</f>
        <v>62462.12</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185591.14</v>
      </c>
      <c r="I363" s="47">
        <f t="shared" si="22"/>
        <v>146.73000000000002</v>
      </c>
      <c r="J363" s="47">
        <f t="shared" si="22"/>
        <v>0</v>
      </c>
      <c r="K363" s="47">
        <f t="shared" si="22"/>
        <v>0</v>
      </c>
      <c r="L363" s="47">
        <f t="shared" si="22"/>
        <v>185737.87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57.22</v>
      </c>
      <c r="G369" s="63">
        <v>39.619999999999997</v>
      </c>
      <c r="H369" s="63">
        <v>49.89</v>
      </c>
      <c r="I369" s="56">
        <f>SUM(F369:H369)</f>
        <v>146.73000000000002</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57.22</v>
      </c>
      <c r="G370" s="47">
        <f>SUM(G368:G369)</f>
        <v>39.619999999999997</v>
      </c>
      <c r="H370" s="47">
        <f>SUM(H368:H369)</f>
        <v>49.89</v>
      </c>
      <c r="I370" s="47">
        <f>SUM(I368:I369)</f>
        <v>146.73000000000002</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v>1608231.5</v>
      </c>
      <c r="J396" s="24" t="s">
        <v>288</v>
      </c>
      <c r="K396" s="24" t="s">
        <v>288</v>
      </c>
      <c r="L396" s="56">
        <f t="shared" ref="L396:L401" si="26">SUM(F396:K396)</f>
        <v>1608231.5</v>
      </c>
      <c r="M396" s="8"/>
      <c r="N396" s="264"/>
    </row>
    <row r="397" spans="1:14" s="3" customFormat="1" ht="12.2" customHeight="1" x14ac:dyDescent="0.15">
      <c r="A397" s="79" t="s">
        <v>557</v>
      </c>
      <c r="B397" s="2" t="s">
        <v>381</v>
      </c>
      <c r="C397" s="6">
        <v>9</v>
      </c>
      <c r="D397" s="2" t="s">
        <v>432</v>
      </c>
      <c r="E397" s="6"/>
      <c r="F397" s="18"/>
      <c r="G397" s="18">
        <v>75000</v>
      </c>
      <c r="H397" s="18">
        <v>29307.27</v>
      </c>
      <c r="I397" s="18"/>
      <c r="J397" s="24" t="s">
        <v>288</v>
      </c>
      <c r="K397" s="24" t="s">
        <v>288</v>
      </c>
      <c r="L397" s="56">
        <f t="shared" si="26"/>
        <v>104307.27</v>
      </c>
      <c r="M397" s="8"/>
      <c r="N397" s="264"/>
    </row>
    <row r="398" spans="1:14" s="3" customFormat="1" ht="12.2" customHeight="1" x14ac:dyDescent="0.15">
      <c r="A398" s="79" t="s">
        <v>515</v>
      </c>
      <c r="B398" s="2" t="s">
        <v>381</v>
      </c>
      <c r="C398" s="6">
        <v>10</v>
      </c>
      <c r="D398" s="2" t="s">
        <v>432</v>
      </c>
      <c r="E398" s="6"/>
      <c r="F398" s="18"/>
      <c r="G398" s="18"/>
      <c r="H398" s="18">
        <v>22144.83</v>
      </c>
      <c r="I398" s="18"/>
      <c r="J398" s="24" t="s">
        <v>288</v>
      </c>
      <c r="K398" s="24" t="s">
        <v>288</v>
      </c>
      <c r="L398" s="56">
        <f t="shared" si="26"/>
        <v>22144.83</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9447.6</v>
      </c>
      <c r="I401" s="18"/>
      <c r="J401" s="24" t="s">
        <v>288</v>
      </c>
      <c r="K401" s="24" t="s">
        <v>288</v>
      </c>
      <c r="L401" s="56">
        <f t="shared" si="26"/>
        <v>9447.6</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60899.700000000004</v>
      </c>
      <c r="I402" s="47">
        <f>SUM(I396:I401)</f>
        <v>1608231.5</v>
      </c>
      <c r="J402" s="45" t="s">
        <v>288</v>
      </c>
      <c r="K402" s="45" t="s">
        <v>288</v>
      </c>
      <c r="L402" s="47">
        <f>SUM(L396:L401)</f>
        <v>1744131.2000000002</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75000</v>
      </c>
      <c r="H409" s="47">
        <f>H394+H402+H408</f>
        <v>60899.700000000004</v>
      </c>
      <c r="I409" s="47">
        <f>I394+I402+I408</f>
        <v>1608231.5</v>
      </c>
      <c r="J409" s="24" t="s">
        <v>288</v>
      </c>
      <c r="K409" s="24" t="s">
        <v>288</v>
      </c>
      <c r="L409" s="47">
        <f>L394+L402+L408</f>
        <v>1744131.2000000002</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v>1705792.63</v>
      </c>
      <c r="H422" s="18"/>
      <c r="I422" s="18"/>
      <c r="J422" s="18"/>
      <c r="K422" s="18"/>
      <c r="L422" s="56">
        <f t="shared" ref="L422:L427" si="29">SUM(F422:K422)</f>
        <v>1705792.63</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1705792.63</v>
      </c>
      <c r="H428" s="47">
        <f t="shared" si="30"/>
        <v>0</v>
      </c>
      <c r="I428" s="47">
        <f t="shared" si="30"/>
        <v>0</v>
      </c>
      <c r="J428" s="47">
        <f t="shared" si="30"/>
        <v>0</v>
      </c>
      <c r="K428" s="47">
        <f t="shared" si="30"/>
        <v>0</v>
      </c>
      <c r="L428" s="47">
        <f t="shared" si="30"/>
        <v>1705792.63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1705792.63</v>
      </c>
      <c r="H435" s="47">
        <f t="shared" si="32"/>
        <v>0</v>
      </c>
      <c r="I435" s="47">
        <f t="shared" si="32"/>
        <v>0</v>
      </c>
      <c r="J435" s="47">
        <f t="shared" si="32"/>
        <v>0</v>
      </c>
      <c r="K435" s="47">
        <f t="shared" si="32"/>
        <v>0</v>
      </c>
      <c r="L435" s="47">
        <f t="shared" si="32"/>
        <v>1705792.63</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v>1669131.2</v>
      </c>
      <c r="H442" s="18"/>
      <c r="I442" s="56">
        <f t="shared" si="33"/>
        <v>1669131.2</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1669131.2</v>
      </c>
      <c r="H447" s="13">
        <f>SUM(H440:H446)</f>
        <v>0</v>
      </c>
      <c r="I447" s="13">
        <f>SUM(I440:I446)</f>
        <v>1669131.2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1669131.2</v>
      </c>
      <c r="H460" s="18"/>
      <c r="I460" s="56">
        <f t="shared" si="34"/>
        <v>1669131.2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1669131.2</v>
      </c>
      <c r="H461" s="83">
        <f>SUM(H455:H460)</f>
        <v>0</v>
      </c>
      <c r="I461" s="83">
        <f>SUM(I455:I460)</f>
        <v>1669131.2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1669131.2</v>
      </c>
      <c r="H462" s="42">
        <f>H453+H461</f>
        <v>0</v>
      </c>
      <c r="I462" s="42">
        <f>I453+I461</f>
        <v>1669131.2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c r="G466" s="18"/>
      <c r="H466" s="18"/>
      <c r="I466" s="18"/>
      <c r="J466" s="18">
        <v>1630792.63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14794120.26</v>
      </c>
      <c r="G469" s="18">
        <v>187300.62</v>
      </c>
      <c r="H469" s="18">
        <v>437767.34</v>
      </c>
      <c r="I469" s="18"/>
      <c r="J469" s="18">
        <v>1744131.2</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14794120.26</v>
      </c>
      <c r="G471" s="53">
        <f>SUM(G469:G470)</f>
        <v>187300.62</v>
      </c>
      <c r="H471" s="53">
        <f>SUM(H469:H470)</f>
        <v>437767.34</v>
      </c>
      <c r="I471" s="53">
        <f>SUM(I469:I470)</f>
        <v>0</v>
      </c>
      <c r="J471" s="53">
        <f>SUM(J469:J470)</f>
        <v>1744131.2</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13486357.640000001</v>
      </c>
      <c r="G473" s="18">
        <v>185737.87</v>
      </c>
      <c r="H473" s="18">
        <v>407165.5</v>
      </c>
      <c r="I473" s="18"/>
      <c r="J473" s="18">
        <v>1705792.63</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t="s">
        <v>286</v>
      </c>
      <c r="K474" s="24" t="s">
        <v>288</v>
      </c>
      <c r="L474" s="24" t="s">
        <v>288</v>
      </c>
      <c r="N474" s="263"/>
    </row>
    <row r="475" spans="1:14" s="52" customFormat="1" ht="12.2" customHeight="1" x14ac:dyDescent="0.2">
      <c r="A475" s="92" t="s">
        <v>426</v>
      </c>
      <c r="B475" s="75">
        <v>19</v>
      </c>
      <c r="C475" s="80">
        <v>7</v>
      </c>
      <c r="D475" s="2" t="s">
        <v>432</v>
      </c>
      <c r="E475" s="80"/>
      <c r="F475" s="53">
        <f>SUM(F473:F474)</f>
        <v>13486357.640000001</v>
      </c>
      <c r="G475" s="53">
        <f>SUM(G473:G474)</f>
        <v>185737.87</v>
      </c>
      <c r="H475" s="53">
        <f>SUM(H473:H474)</f>
        <v>407165.5</v>
      </c>
      <c r="I475" s="53">
        <f>SUM(I473:I474)</f>
        <v>0</v>
      </c>
      <c r="J475" s="53">
        <f>SUM(J473:J474)</f>
        <v>1705792.63</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1307762.6199999992</v>
      </c>
      <c r="G477" s="53">
        <f>(G466+G471)- G475</f>
        <v>1562.75</v>
      </c>
      <c r="H477" s="53">
        <f>(H466+H471)- H475</f>
        <v>30601.840000000026</v>
      </c>
      <c r="I477" s="53">
        <f>(I466+I471)- I475</f>
        <v>0</v>
      </c>
      <c r="J477" s="53">
        <f>(J466+J471)- J475</f>
        <v>1669131.2000000002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473348.26</v>
      </c>
      <c r="G522" s="18">
        <v>153042.5</v>
      </c>
      <c r="H522" s="18"/>
      <c r="I522" s="18">
        <v>7070.2</v>
      </c>
      <c r="J522" s="18"/>
      <c r="K522" s="18">
        <v>2439.3200000000002</v>
      </c>
      <c r="L522" s="88">
        <f>SUM(F522:K522)</f>
        <v>635900.27999999991</v>
      </c>
      <c r="N522" s="263"/>
    </row>
    <row r="523" spans="1:14" s="52" customFormat="1" ht="12.2" customHeight="1" x14ac:dyDescent="0.2">
      <c r="A523" s="22" t="s">
        <v>634</v>
      </c>
      <c r="B523" s="105">
        <v>21</v>
      </c>
      <c r="C523" s="115">
        <v>2</v>
      </c>
      <c r="D523" s="2" t="s">
        <v>432</v>
      </c>
      <c r="E523" s="115"/>
      <c r="F523" s="18">
        <v>272004.03999999998</v>
      </c>
      <c r="G523" s="18">
        <v>78673.960000000006</v>
      </c>
      <c r="H523" s="18"/>
      <c r="I523" s="18">
        <v>2173.79</v>
      </c>
      <c r="J523" s="18"/>
      <c r="K523" s="18">
        <v>2509.2800000000002</v>
      </c>
      <c r="L523" s="88">
        <f>SUM(F523:K523)</f>
        <v>355361.07</v>
      </c>
      <c r="N523" s="263"/>
    </row>
    <row r="524" spans="1:14" s="52" customFormat="1" ht="12.2" customHeight="1" thickBot="1" x14ac:dyDescent="0.25">
      <c r="A524" s="22" t="s">
        <v>635</v>
      </c>
      <c r="B524" s="105">
        <v>21</v>
      </c>
      <c r="C524" s="115">
        <v>3</v>
      </c>
      <c r="D524" s="2" t="s">
        <v>432</v>
      </c>
      <c r="E524" s="115"/>
      <c r="F524" s="18">
        <v>424016.42</v>
      </c>
      <c r="G524" s="18">
        <v>142103.64000000001</v>
      </c>
      <c r="H524" s="18"/>
      <c r="I524" s="18">
        <v>1733.27</v>
      </c>
      <c r="J524" s="18">
        <v>538.98</v>
      </c>
      <c r="K524" s="18">
        <v>1655.15</v>
      </c>
      <c r="L524" s="88">
        <f>SUM(F524:K524)</f>
        <v>570047.46000000008</v>
      </c>
      <c r="N524" s="263"/>
    </row>
    <row r="525" spans="1:14" s="52" customFormat="1" ht="12.2" customHeight="1" thickTop="1" x14ac:dyDescent="0.2">
      <c r="A525" s="139" t="s">
        <v>63</v>
      </c>
      <c r="B525" s="107">
        <v>21</v>
      </c>
      <c r="C525" s="195">
        <v>4</v>
      </c>
      <c r="D525" s="196" t="s">
        <v>432</v>
      </c>
      <c r="E525" s="195"/>
      <c r="F525" s="108">
        <f>SUM(F522:F524)</f>
        <v>1169368.72</v>
      </c>
      <c r="G525" s="108">
        <f t="shared" ref="G525:L525" si="36">SUM(G522:G524)</f>
        <v>373820.10000000003</v>
      </c>
      <c r="H525" s="108">
        <f t="shared" si="36"/>
        <v>0</v>
      </c>
      <c r="I525" s="108">
        <f t="shared" si="36"/>
        <v>10977.26</v>
      </c>
      <c r="J525" s="108">
        <f t="shared" si="36"/>
        <v>538.98</v>
      </c>
      <c r="K525" s="108">
        <f t="shared" si="36"/>
        <v>6603.75</v>
      </c>
      <c r="L525" s="89">
        <f t="shared" si="36"/>
        <v>1561308.81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v>290701.07</v>
      </c>
      <c r="I527" s="18"/>
      <c r="J527" s="18"/>
      <c r="K527" s="18"/>
      <c r="L527" s="88">
        <f>SUM(F527:K527)</f>
        <v>290701.07</v>
      </c>
      <c r="M527" s="8"/>
      <c r="N527" s="264"/>
    </row>
    <row r="528" spans="1:14" s="3" customFormat="1" ht="12.2" customHeight="1" x14ac:dyDescent="0.15">
      <c r="A528" s="22" t="s">
        <v>634</v>
      </c>
      <c r="B528" s="105">
        <v>21</v>
      </c>
      <c r="C528" s="115">
        <v>6</v>
      </c>
      <c r="D528" s="2" t="s">
        <v>432</v>
      </c>
      <c r="E528" s="115"/>
      <c r="F528" s="18"/>
      <c r="G528" s="18"/>
      <c r="H528" s="18">
        <v>68370.52</v>
      </c>
      <c r="I528" s="18"/>
      <c r="J528" s="18"/>
      <c r="K528" s="18"/>
      <c r="L528" s="88">
        <f>SUM(F528:K528)</f>
        <v>68370.52</v>
      </c>
      <c r="M528" s="8"/>
      <c r="N528" s="264"/>
    </row>
    <row r="529" spans="1:14" s="3" customFormat="1" ht="12.2" customHeight="1" thickBot="1" x14ac:dyDescent="0.2">
      <c r="A529" s="22" t="s">
        <v>635</v>
      </c>
      <c r="B529" s="118">
        <v>21</v>
      </c>
      <c r="C529" s="118">
        <v>7</v>
      </c>
      <c r="D529" s="2" t="s">
        <v>432</v>
      </c>
      <c r="E529" s="118"/>
      <c r="F529" s="18"/>
      <c r="G529" s="18"/>
      <c r="H529" s="18">
        <v>120740.51</v>
      </c>
      <c r="I529" s="18"/>
      <c r="J529" s="18"/>
      <c r="K529" s="18"/>
      <c r="L529" s="88">
        <f>SUM(F529:K529)</f>
        <v>120740.51</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479812.10000000003</v>
      </c>
      <c r="I530" s="89">
        <f t="shared" si="37"/>
        <v>0</v>
      </c>
      <c r="J530" s="89">
        <f t="shared" si="37"/>
        <v>0</v>
      </c>
      <c r="K530" s="89">
        <f t="shared" si="37"/>
        <v>0</v>
      </c>
      <c r="L530" s="89">
        <f t="shared" si="37"/>
        <v>479812.10000000003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62341.27</v>
      </c>
      <c r="G532" s="18">
        <v>29767.360000000001</v>
      </c>
      <c r="H532" s="18"/>
      <c r="I532" s="18"/>
      <c r="J532" s="18"/>
      <c r="K532" s="18"/>
      <c r="L532" s="88">
        <f>SUM(F532:K532)</f>
        <v>92108.63</v>
      </c>
      <c r="M532" s="8"/>
      <c r="N532" s="264"/>
    </row>
    <row r="533" spans="1:14" s="3" customFormat="1" ht="12.2" customHeight="1" x14ac:dyDescent="0.15">
      <c r="A533" s="22" t="s">
        <v>634</v>
      </c>
      <c r="B533" s="105">
        <v>21</v>
      </c>
      <c r="C533" s="105">
        <v>10</v>
      </c>
      <c r="D533" s="2" t="s">
        <v>432</v>
      </c>
      <c r="E533" s="105"/>
      <c r="F533" s="18">
        <v>43159.35</v>
      </c>
      <c r="G533" s="18">
        <v>20608.169999999998</v>
      </c>
      <c r="H533" s="18"/>
      <c r="I533" s="18"/>
      <c r="J533" s="18"/>
      <c r="K533" s="18"/>
      <c r="L533" s="88">
        <f>SUM(F533:K533)</f>
        <v>63767.519999999997</v>
      </c>
      <c r="M533" s="8"/>
      <c r="N533" s="264"/>
    </row>
    <row r="534" spans="1:14" s="3" customFormat="1" ht="12.2" customHeight="1" thickBot="1" x14ac:dyDescent="0.2">
      <c r="A534" s="22" t="s">
        <v>635</v>
      </c>
      <c r="B534" s="105">
        <v>21</v>
      </c>
      <c r="C534" s="105">
        <v>11</v>
      </c>
      <c r="D534" s="2" t="s">
        <v>432</v>
      </c>
      <c r="E534" s="105"/>
      <c r="F534" s="18">
        <v>54348.81</v>
      </c>
      <c r="G534" s="18">
        <v>25951.040000000001</v>
      </c>
      <c r="H534" s="18"/>
      <c r="I534" s="18"/>
      <c r="J534" s="18"/>
      <c r="K534" s="18"/>
      <c r="L534" s="88">
        <f>SUM(F534:K534)</f>
        <v>80299.850000000006</v>
      </c>
      <c r="M534" s="8"/>
      <c r="N534" s="264"/>
    </row>
    <row r="535" spans="1:14" s="3" customFormat="1" ht="12.2" customHeight="1" thickTop="1" x14ac:dyDescent="0.15">
      <c r="A535" s="139" t="s">
        <v>67</v>
      </c>
      <c r="B535" s="107">
        <v>21</v>
      </c>
      <c r="C535" s="107">
        <v>12</v>
      </c>
      <c r="D535" s="158" t="s">
        <v>432</v>
      </c>
      <c r="E535" s="107"/>
      <c r="F535" s="89">
        <f>SUM(F532:F534)</f>
        <v>159849.43</v>
      </c>
      <c r="G535" s="89">
        <f t="shared" ref="G535:L535" si="38">SUM(G532:G534)</f>
        <v>76326.570000000007</v>
      </c>
      <c r="H535" s="89">
        <f t="shared" si="38"/>
        <v>0</v>
      </c>
      <c r="I535" s="89">
        <f t="shared" si="38"/>
        <v>0</v>
      </c>
      <c r="J535" s="89">
        <f t="shared" si="38"/>
        <v>0</v>
      </c>
      <c r="K535" s="89">
        <f t="shared" si="38"/>
        <v>0</v>
      </c>
      <c r="L535" s="89">
        <f t="shared" si="38"/>
        <v>236176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v>2885.62</v>
      </c>
      <c r="I538" s="18"/>
      <c r="J538" s="18"/>
      <c r="K538" s="18"/>
      <c r="L538" s="88">
        <f>SUM(F538:K538)</f>
        <v>2885.62</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2885.62</v>
      </c>
      <c r="I540" s="89">
        <f t="shared" si="39"/>
        <v>0</v>
      </c>
      <c r="J540" s="89">
        <f t="shared" si="39"/>
        <v>0</v>
      </c>
      <c r="K540" s="89">
        <f t="shared" si="39"/>
        <v>0</v>
      </c>
      <c r="L540" s="89">
        <f t="shared" si="39"/>
        <v>2885.62</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40750.44</v>
      </c>
      <c r="I542" s="18"/>
      <c r="J542" s="18"/>
      <c r="K542" s="18"/>
      <c r="L542" s="88">
        <f>SUM(F542:K542)</f>
        <v>40750.44</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5577.45</v>
      </c>
      <c r="I544" s="18"/>
      <c r="J544" s="18"/>
      <c r="K544" s="18"/>
      <c r="L544" s="88">
        <f>SUM(F544:K544)</f>
        <v>5577.45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46327.89</v>
      </c>
      <c r="I545" s="193">
        <f t="shared" si="40"/>
        <v>0</v>
      </c>
      <c r="J545" s="193">
        <f t="shared" si="40"/>
        <v>0</v>
      </c>
      <c r="K545" s="193">
        <f t="shared" si="40"/>
        <v>0</v>
      </c>
      <c r="L545" s="193">
        <f t="shared" si="40"/>
        <v>46327.89</v>
      </c>
      <c r="M545" s="8"/>
      <c r="N545" s="264"/>
    </row>
    <row r="546" spans="1:14" s="3" customFormat="1" ht="12.2" customHeight="1" thickTop="1" x14ac:dyDescent="0.15">
      <c r="A546" s="98" t="s">
        <v>72</v>
      </c>
      <c r="B546" s="107">
        <v>21</v>
      </c>
      <c r="C546" s="107">
        <v>21</v>
      </c>
      <c r="D546" s="158" t="s">
        <v>432</v>
      </c>
      <c r="E546" s="107"/>
      <c r="F546" s="89">
        <f>F525+F530+F535+F540+F545</f>
        <v>1329218.1499999999</v>
      </c>
      <c r="G546" s="89">
        <f t="shared" ref="G546:L546" si="41">G525+G530+G535+G540+G545</f>
        <v>450146.67000000004</v>
      </c>
      <c r="H546" s="89">
        <f t="shared" si="41"/>
        <v>529025.61</v>
      </c>
      <c r="I546" s="89">
        <f t="shared" si="41"/>
        <v>10977.26</v>
      </c>
      <c r="J546" s="89">
        <f t="shared" si="41"/>
        <v>538.98</v>
      </c>
      <c r="K546" s="89">
        <f t="shared" si="41"/>
        <v>6603.75</v>
      </c>
      <c r="L546" s="89">
        <f t="shared" si="41"/>
        <v>2326510.4200000004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635900.27999999991</v>
      </c>
      <c r="G550" s="87">
        <f>L527</f>
        <v>290701.07</v>
      </c>
      <c r="H550" s="87">
        <f>L532</f>
        <v>92108.63</v>
      </c>
      <c r="I550" s="87">
        <f>L537</f>
        <v>0</v>
      </c>
      <c r="J550" s="87">
        <f>L542</f>
        <v>40750.44</v>
      </c>
      <c r="K550" s="87">
        <f>SUM(F550:J550)</f>
        <v>1059460.42</v>
      </c>
      <c r="L550" s="24" t="s">
        <v>288</v>
      </c>
      <c r="M550" s="8"/>
      <c r="N550" s="264"/>
    </row>
    <row r="551" spans="1:14" s="3" customFormat="1" ht="12.2" customHeight="1" x14ac:dyDescent="0.15">
      <c r="A551" s="22" t="s">
        <v>634</v>
      </c>
      <c r="B551" s="75">
        <v>21</v>
      </c>
      <c r="C551" s="75">
        <v>23</v>
      </c>
      <c r="D551" s="2" t="s">
        <v>432</v>
      </c>
      <c r="E551" s="75"/>
      <c r="F551" s="87">
        <f>L523</f>
        <v>355361.07</v>
      </c>
      <c r="G551" s="87">
        <f>L528</f>
        <v>68370.52</v>
      </c>
      <c r="H551" s="87">
        <f>L533</f>
        <v>63767.519999999997</v>
      </c>
      <c r="I551" s="87">
        <f>L538</f>
        <v>2885.62</v>
      </c>
      <c r="J551" s="87">
        <f>L543</f>
        <v>0</v>
      </c>
      <c r="K551" s="87">
        <f>SUM(F551:J551)</f>
        <v>490384.73000000004</v>
      </c>
      <c r="L551" s="24" t="s">
        <v>288</v>
      </c>
      <c r="M551" s="8"/>
      <c r="N551" s="264"/>
    </row>
    <row r="552" spans="1:14" s="3" customFormat="1" ht="12.2" customHeight="1" thickBot="1" x14ac:dyDescent="0.2">
      <c r="A552" s="22" t="s">
        <v>635</v>
      </c>
      <c r="B552" s="75">
        <v>21</v>
      </c>
      <c r="C552" s="75">
        <v>24</v>
      </c>
      <c r="D552" s="2" t="s">
        <v>432</v>
      </c>
      <c r="E552" s="75"/>
      <c r="F552" s="87">
        <f>L524</f>
        <v>570047.46000000008</v>
      </c>
      <c r="G552" s="87">
        <f>L529</f>
        <v>120740.51</v>
      </c>
      <c r="H552" s="87">
        <f>L534</f>
        <v>80299.850000000006</v>
      </c>
      <c r="I552" s="87">
        <f>L539</f>
        <v>0</v>
      </c>
      <c r="J552" s="87">
        <f>L544</f>
        <v>5577.45</v>
      </c>
      <c r="K552" s="87">
        <f>SUM(F552:J552)</f>
        <v>776665.27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1561308.81</v>
      </c>
      <c r="G553" s="89">
        <f t="shared" si="42"/>
        <v>479812.10000000003</v>
      </c>
      <c r="H553" s="89">
        <f t="shared" si="42"/>
        <v>236176</v>
      </c>
      <c r="I553" s="89">
        <f t="shared" si="42"/>
        <v>2885.62</v>
      </c>
      <c r="J553" s="89">
        <f t="shared" si="42"/>
        <v>46327.89</v>
      </c>
      <c r="K553" s="89">
        <f t="shared" si="42"/>
        <v>2326510.42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52507.39</v>
      </c>
      <c r="G563" s="18">
        <v>23888.52</v>
      </c>
      <c r="H563" s="18"/>
      <c r="I563" s="18"/>
      <c r="J563" s="18"/>
      <c r="K563" s="18"/>
      <c r="L563" s="88">
        <f>SUM(F563:K563)</f>
        <v>76395.91</v>
      </c>
      <c r="M563" s="8"/>
      <c r="N563" s="264"/>
    </row>
    <row r="564" spans="1:14" s="3" customFormat="1" ht="12.2" customHeight="1" x14ac:dyDescent="0.15">
      <c r="A564" s="22" t="s">
        <v>634</v>
      </c>
      <c r="B564" s="105">
        <v>22</v>
      </c>
      <c r="C564" s="115">
        <v>6</v>
      </c>
      <c r="D564" s="2" t="s">
        <v>432</v>
      </c>
      <c r="E564" s="115"/>
      <c r="F564" s="18">
        <v>48998.720000000001</v>
      </c>
      <c r="G564" s="18">
        <v>20189.41</v>
      </c>
      <c r="H564" s="18">
        <v>2297.5</v>
      </c>
      <c r="I564" s="18"/>
      <c r="J564" s="18"/>
      <c r="K564" s="18"/>
      <c r="L564" s="88">
        <f>SUM(F564:K564)</f>
        <v>71485.63</v>
      </c>
      <c r="M564" s="8"/>
      <c r="N564" s="264"/>
    </row>
    <row r="565" spans="1:14" s="3" customFormat="1" ht="12.2" customHeight="1" thickBot="1" x14ac:dyDescent="0.2">
      <c r="A565" s="22" t="s">
        <v>635</v>
      </c>
      <c r="B565" s="105">
        <v>22</v>
      </c>
      <c r="C565" s="118">
        <v>7</v>
      </c>
      <c r="D565" s="2" t="s">
        <v>432</v>
      </c>
      <c r="E565" s="118"/>
      <c r="F565" s="18">
        <v>57384.31</v>
      </c>
      <c r="G565" s="18">
        <v>24110.84</v>
      </c>
      <c r="H565" s="18"/>
      <c r="I565" s="18"/>
      <c r="J565" s="18"/>
      <c r="K565" s="18"/>
      <c r="L565" s="88">
        <f>SUM(F565:K565)</f>
        <v>81495.149999999994</v>
      </c>
      <c r="M565" s="8"/>
      <c r="N565" s="264"/>
    </row>
    <row r="566" spans="1:14" s="3" customFormat="1" ht="12.2" customHeight="1" thickTop="1" x14ac:dyDescent="0.15">
      <c r="A566" s="139" t="s">
        <v>65</v>
      </c>
      <c r="B566" s="107">
        <v>22</v>
      </c>
      <c r="C566" s="107">
        <v>8</v>
      </c>
      <c r="D566" s="196" t="s">
        <v>432</v>
      </c>
      <c r="E566" s="107"/>
      <c r="F566" s="89">
        <f t="shared" ref="F566:L566" si="44">SUM(F563:F565)</f>
        <v>158890.41999999998</v>
      </c>
      <c r="G566" s="89">
        <f t="shared" si="44"/>
        <v>68188.77</v>
      </c>
      <c r="H566" s="89">
        <f t="shared" si="44"/>
        <v>2297.5</v>
      </c>
      <c r="I566" s="89">
        <f t="shared" si="44"/>
        <v>0</v>
      </c>
      <c r="J566" s="89">
        <f t="shared" si="44"/>
        <v>0</v>
      </c>
      <c r="K566" s="89">
        <f t="shared" si="44"/>
        <v>0</v>
      </c>
      <c r="L566" s="89">
        <f t="shared" si="44"/>
        <v>229376.69</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158890.41999999998</v>
      </c>
      <c r="G572" s="89">
        <f t="shared" ref="G572:L572" si="46">G561+G566+G571</f>
        <v>68188.77</v>
      </c>
      <c r="H572" s="89">
        <f t="shared" si="46"/>
        <v>2297.5</v>
      </c>
      <c r="I572" s="89">
        <f t="shared" si="46"/>
        <v>0</v>
      </c>
      <c r="J572" s="89">
        <f t="shared" si="46"/>
        <v>0</v>
      </c>
      <c r="K572" s="89">
        <f t="shared" si="46"/>
        <v>0</v>
      </c>
      <c r="L572" s="89">
        <f t="shared" si="46"/>
        <v>229376.69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6750</v>
      </c>
      <c r="G583" s="18"/>
      <c r="H583" s="18">
        <v>213883.04</v>
      </c>
      <c r="I583" s="87">
        <f t="shared" si="47"/>
        <v>220633.04</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32764.09</v>
      </c>
      <c r="I585" s="87">
        <f t="shared" si="47"/>
        <v>32764.09</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174521.63</v>
      </c>
      <c r="I592" s="18">
        <v>111561.34</v>
      </c>
      <c r="J592" s="18">
        <v>140466.74</v>
      </c>
      <c r="K592" s="104">
        <f t="shared" ref="K592:K598" si="48">SUM(H592:J592)</f>
        <v>426549.70999999996</v>
      </c>
      <c r="L592" s="24" t="s">
        <v>288</v>
      </c>
      <c r="M592" s="8"/>
      <c r="N592" s="264"/>
    </row>
    <row r="593" spans="1:14" s="3" customFormat="1" ht="12.2" customHeight="1" x14ac:dyDescent="0.15">
      <c r="A593" s="3" t="s">
        <v>638</v>
      </c>
      <c r="B593" s="75">
        <v>23</v>
      </c>
      <c r="C593" s="75">
        <v>2</v>
      </c>
      <c r="D593" s="2" t="s">
        <v>432</v>
      </c>
      <c r="E593" s="75"/>
      <c r="F593" s="102">
        <v>2722</v>
      </c>
      <c r="G593" s="103" t="s">
        <v>97</v>
      </c>
      <c r="H593" s="18">
        <v>40750.44</v>
      </c>
      <c r="I593" s="18"/>
      <c r="J593" s="18">
        <v>5577.45</v>
      </c>
      <c r="K593" s="104">
        <f t="shared" si="48"/>
        <v>46327.89</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31913.27</v>
      </c>
      <c r="K594" s="104">
        <f t="shared" si="48"/>
        <v>31913.27</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10118.82</v>
      </c>
      <c r="J595" s="18">
        <v>21195.54</v>
      </c>
      <c r="K595" s="104">
        <f t="shared" si="48"/>
        <v>31314.36</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v>574</v>
      </c>
      <c r="J596" s="18">
        <v>762.93</v>
      </c>
      <c r="K596" s="104">
        <f t="shared" si="48"/>
        <v>1336.9299999999998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215272.07</v>
      </c>
      <c r="I599" s="108">
        <f>SUM(I592:I598)</f>
        <v>122254.16</v>
      </c>
      <c r="J599" s="108">
        <f>SUM(J592:J598)</f>
        <v>199915.93</v>
      </c>
      <c r="K599" s="108">
        <f>SUM(K592:K598)</f>
        <v>537442.16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124178.78</v>
      </c>
      <c r="I605" s="18">
        <v>65636.78</v>
      </c>
      <c r="J605" s="18">
        <v>84934.17</v>
      </c>
      <c r="K605" s="104">
        <f>SUM(H605:J605)</f>
        <v>274749.73</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124178.78</v>
      </c>
      <c r="I606" s="108">
        <f>SUM(I603:I605)</f>
        <v>65636.78</v>
      </c>
      <c r="J606" s="108">
        <f>SUM(J603:J605)</f>
        <v>84934.17</v>
      </c>
      <c r="K606" s="108">
        <f>SUM(K603:K605)</f>
        <v>274749.73</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37642.74</v>
      </c>
      <c r="G612" s="18">
        <v>2879.67</v>
      </c>
      <c r="H612" s="18"/>
      <c r="I612" s="18"/>
      <c r="J612" s="18"/>
      <c r="K612" s="18"/>
      <c r="L612" s="88">
        <f>SUM(F612:K612)</f>
        <v>40522.409999999996</v>
      </c>
      <c r="M612" s="8"/>
      <c r="N612" s="264"/>
    </row>
    <row r="613" spans="1:14" s="3" customFormat="1" ht="12.2" customHeight="1" x14ac:dyDescent="0.15">
      <c r="A613" s="22" t="s">
        <v>634</v>
      </c>
      <c r="B613" s="75">
        <v>23</v>
      </c>
      <c r="C613" s="75">
        <v>14</v>
      </c>
      <c r="D613" s="2" t="s">
        <v>432</v>
      </c>
      <c r="E613" s="75"/>
      <c r="F613" s="18">
        <v>3539.7</v>
      </c>
      <c r="G613" s="18">
        <v>270.79000000000002</v>
      </c>
      <c r="H613" s="18"/>
      <c r="I613" s="18"/>
      <c r="J613" s="18"/>
      <c r="K613" s="18"/>
      <c r="L613" s="88">
        <f>SUM(F613:K613)</f>
        <v>3810.49</v>
      </c>
      <c r="M613" s="8"/>
      <c r="N613" s="264"/>
    </row>
    <row r="614" spans="1:14" s="3" customFormat="1" ht="12.2" customHeight="1" thickBot="1" x14ac:dyDescent="0.2">
      <c r="A614" s="22" t="s">
        <v>645</v>
      </c>
      <c r="B614" s="75">
        <v>23</v>
      </c>
      <c r="C614" s="75">
        <v>15</v>
      </c>
      <c r="D614" s="2" t="s">
        <v>432</v>
      </c>
      <c r="E614" s="75"/>
      <c r="F614" s="18">
        <v>55472.53</v>
      </c>
      <c r="G614" s="18">
        <v>4243.6499999999996</v>
      </c>
      <c r="H614" s="18"/>
      <c r="I614" s="18"/>
      <c r="J614" s="18"/>
      <c r="K614" s="18"/>
      <c r="L614" s="88">
        <f>SUM(F614:K614)</f>
        <v>59716.18</v>
      </c>
      <c r="M614" s="8"/>
      <c r="N614" s="264"/>
    </row>
    <row r="615" spans="1:14" s="3" customFormat="1" ht="12.2" customHeight="1" thickTop="1" x14ac:dyDescent="0.15">
      <c r="A615" s="98" t="s">
        <v>340</v>
      </c>
      <c r="B615" s="107">
        <v>23</v>
      </c>
      <c r="C615" s="107">
        <v>16</v>
      </c>
      <c r="D615" s="39" t="s">
        <v>432</v>
      </c>
      <c r="E615" s="107"/>
      <c r="F615" s="108">
        <f t="shared" ref="F615:L615" si="49">SUM(F612:F614)</f>
        <v>96654.97</v>
      </c>
      <c r="G615" s="108">
        <f t="shared" si="49"/>
        <v>7394.11</v>
      </c>
      <c r="H615" s="108">
        <f t="shared" si="49"/>
        <v>0</v>
      </c>
      <c r="I615" s="108">
        <f t="shared" si="49"/>
        <v>0</v>
      </c>
      <c r="J615" s="108">
        <f t="shared" si="49"/>
        <v>0</v>
      </c>
      <c r="K615" s="108">
        <f t="shared" si="49"/>
        <v>0</v>
      </c>
      <c r="L615" s="89">
        <f t="shared" si="49"/>
        <v>104049.07999999999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2083744.97</v>
      </c>
      <c r="H618" s="109">
        <f>SUM(F52)</f>
        <v>2083744.9700000002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1562.75</v>
      </c>
      <c r="H619" s="109">
        <f>SUM(G52)</f>
        <v>1562.75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63343.68</v>
      </c>
      <c r="H620" s="109">
        <f>SUM(H52)</f>
        <v>63343.68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1669131.2</v>
      </c>
      <c r="H622" s="109">
        <f>SUM(J52)</f>
        <v>1669131.2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1307762.6200000001</v>
      </c>
      <c r="H623" s="109">
        <f>F477</f>
        <v>1307762.6199999992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1562.75</v>
      </c>
      <c r="H624" s="109">
        <f>G477</f>
        <v>1562.75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30601.84</v>
      </c>
      <c r="H625" s="109">
        <f>H477</f>
        <v>30601.840000000026</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1669131.2</v>
      </c>
      <c r="H627" s="109">
        <f>J477</f>
        <v>1669131.2000000002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14794120.26</v>
      </c>
      <c r="H628" s="104">
        <f>SUM(F469)</f>
        <v>14794120.26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187300.62</v>
      </c>
      <c r="H629" s="104">
        <f>SUM(G469)</f>
        <v>187300.62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437767.33999999997</v>
      </c>
      <c r="H630" s="104">
        <f>SUM(H469)</f>
        <v>437767.34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1744131.2</v>
      </c>
      <c r="H632" s="104">
        <f>SUM(J469)</f>
        <v>1744131.2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13486357.639999999</v>
      </c>
      <c r="H633" s="104">
        <f>SUM(F473)</f>
        <v>13486357.640000001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407165.5</v>
      </c>
      <c r="H634" s="104">
        <f>SUM(H473)</f>
        <v>407165.5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146.73000000000002</v>
      </c>
      <c r="H635" s="104">
        <f>I370</f>
        <v>146.73000000000002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185737.87</v>
      </c>
      <c r="H636" s="104">
        <f>SUM(G473)</f>
        <v>185737.87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1744131.2000000002</v>
      </c>
      <c r="H638" s="164">
        <f>SUM(J469)</f>
        <v>1744131.2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1705792.63</v>
      </c>
      <c r="H639" s="164">
        <f>SUM(J473)</f>
        <v>1705792.63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1669131.2</v>
      </c>
      <c r="H641" s="104">
        <f>SUM(G462)</f>
        <v>1669131.2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1669131.2</v>
      </c>
      <c r="H643" s="104">
        <f>SUM(I462)</f>
        <v>1669131.2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60899.7</v>
      </c>
      <c r="H645" s="104">
        <f>H409</f>
        <v>60899.700000000004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1744131.2</v>
      </c>
      <c r="H647" s="104">
        <f>L409</f>
        <v>1744131.2000000002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537442.16</v>
      </c>
      <c r="H648" s="104">
        <f>L209+L227+L245</f>
        <v>537442.15999999992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274749.73</v>
      </c>
      <c r="H649" s="104">
        <f>(J258+J339)-(J256+J337)</f>
        <v>274749.73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215272.07</v>
      </c>
      <c r="H650" s="104">
        <f>H599</f>
        <v>215272.07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122254.15999999999</v>
      </c>
      <c r="H651" s="104">
        <f>I599</f>
        <v>122254.16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199915.93</v>
      </c>
      <c r="H652" s="104">
        <f>J599</f>
        <v>199915.93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5601498.8399999999</v>
      </c>
      <c r="G661" s="19">
        <f>(L230+L310+L360)</f>
        <v>3285752.2999999993</v>
      </c>
      <c r="H661" s="19">
        <f>(L248+L329+L361)</f>
        <v>5080517.63</v>
      </c>
      <c r="I661" s="19">
        <f>SUM(F661:H661)</f>
        <v>13967768.77</v>
      </c>
      <c r="J661" s="13"/>
      <c r="K661" s="13"/>
      <c r="L661" s="13"/>
      <c r="M661" s="9"/>
    </row>
    <row r="662" spans="1:13" s="3" customFormat="1" ht="12.2" customHeight="1" x14ac:dyDescent="0.2">
      <c r="A662" s="1" t="s">
        <v>127</v>
      </c>
      <c r="F662" s="19">
        <f>(L359/IF(SUM(L359:L361)=0,1,SUM(L359:L361))*(SUM(G97:G110)))</f>
        <v>10649.784183454889</v>
      </c>
      <c r="G662" s="19">
        <f>(L360/IF(SUM(L359:L361)=0,1,SUM(L359:L361))*(SUM(G97:G110)))</f>
        <v>7395.9244672096229</v>
      </c>
      <c r="H662" s="19">
        <f>(L361/IF(SUM(L359:L361)=0,1,SUM(L359:L361))*(SUM(G97:G110)))</f>
        <v>9143.5113493354911</v>
      </c>
      <c r="I662" s="19">
        <f>SUM(F662:H662)</f>
        <v>27189.220000000005</v>
      </c>
      <c r="J662"/>
      <c r="K662" s="13"/>
      <c r="L662" s="13"/>
      <c r="M662" s="8"/>
    </row>
    <row r="663" spans="1:13" s="3" customFormat="1" ht="12.2" customHeight="1" x14ac:dyDescent="0.2">
      <c r="A663" s="1" t="s">
        <v>128</v>
      </c>
      <c r="F663" s="19">
        <f>(L209+L288)-(J209+J288)</f>
        <v>215272.07</v>
      </c>
      <c r="G663" s="19">
        <f>(L227+L307)-(J227+J307)</f>
        <v>122254.15999999999</v>
      </c>
      <c r="H663" s="19">
        <f>(L245+L326)-(J245+J326)</f>
        <v>199915.93</v>
      </c>
      <c r="I663" s="19">
        <f>SUM(F663:H663)</f>
        <v>537442.15999999992</v>
      </c>
      <c r="J663"/>
      <c r="K663" s="13"/>
      <c r="L663" s="13"/>
      <c r="M663" s="9"/>
    </row>
    <row r="664" spans="1:13" s="3" customFormat="1" ht="12.2" customHeight="1" x14ac:dyDescent="0.15">
      <c r="A664" s="198" t="s">
        <v>129</v>
      </c>
      <c r="B664" s="169"/>
      <c r="C664" s="169"/>
      <c r="D664" s="169"/>
      <c r="E664" s="169"/>
      <c r="F664" s="199">
        <f>SUM(F576:F588)+SUM(H603:H605)+SUM(L612)</f>
        <v>171451.19</v>
      </c>
      <c r="G664" s="199">
        <f>SUM(G576:G588)+SUM(I603:I605)+L613</f>
        <v>69447.27</v>
      </c>
      <c r="H664" s="199">
        <f>SUM(H576:H588)+SUM(J603:J605)+L614</f>
        <v>391297.48</v>
      </c>
      <c r="I664" s="19">
        <f>SUM(F664:H664)</f>
        <v>632195.93999999994</v>
      </c>
      <c r="J664" s="13"/>
      <c r="K664" s="13"/>
      <c r="L664" s="13"/>
      <c r="M664" s="9"/>
    </row>
    <row r="665" spans="1:13" s="3" customFormat="1" ht="12.2" customHeight="1" x14ac:dyDescent="0.15">
      <c r="A665" s="1" t="s">
        <v>130</v>
      </c>
      <c r="F665" s="19">
        <f>F661-SUM(F662:F664)</f>
        <v>5204125.7958165454</v>
      </c>
      <c r="G665" s="19">
        <f>G661-SUM(G662:G664)</f>
        <v>3086654.9455327899</v>
      </c>
      <c r="H665" s="19">
        <f>H661-SUM(H662:H664)</f>
        <v>4480160.7086506644</v>
      </c>
      <c r="I665" s="19">
        <f>I661-SUM(I662:I664)</f>
        <v>12770941.449999999</v>
      </c>
      <c r="J665" s="13"/>
      <c r="K665" s="13"/>
      <c r="L665" s="13"/>
      <c r="M665" s="8"/>
    </row>
    <row r="666" spans="1:13" s="3" customFormat="1" ht="12.2" customHeight="1" x14ac:dyDescent="0.25">
      <c r="A666" s="1" t="s">
        <v>131</v>
      </c>
      <c r="F666" s="359">
        <v>164.12</v>
      </c>
      <c r="G666" s="359">
        <v>146.75</v>
      </c>
      <c r="H666" s="359">
        <v>134.62</v>
      </c>
      <c r="I666" s="19">
        <f>SUM(F666:H666)</f>
        <v>445.49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31709.27</v>
      </c>
      <c r="G668" s="19">
        <f>ROUND(G665/G666,2)</f>
        <v>21033.42</v>
      </c>
      <c r="H668" s="19">
        <f>ROUND(H665/H666,2)</f>
        <v>33280.050000000003</v>
      </c>
      <c r="I668" s="19">
        <f>ROUND(I665/I666,2)</f>
        <v>28667.18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-3.33</v>
      </c>
      <c r="I671" s="19">
        <f>SUM(F671:H671)</f>
        <v>-3.33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31709.27</v>
      </c>
      <c r="G673" s="19">
        <f>ROUND((G665+G670)/(G666+G671),2)</f>
        <v>21033.42</v>
      </c>
      <c r="H673" s="19">
        <f>ROUND((H665+H670)/(H666+H671),2)</f>
        <v>34124.160000000003</v>
      </c>
      <c r="I673" s="19">
        <f>ROUND((I665+I670)/(I666+I671),2)</f>
        <v>28883.08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H24" sqref="H24"/>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0</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87400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109097.97</v>
      </c>
      <c r="F22" s="346"/>
    </row>
    <row r="23" spans="2:8" x14ac:dyDescent="0.25">
      <c r="B23" s="346"/>
      <c r="C23" s="346"/>
      <c r="D23" s="346"/>
      <c r="E23" s="346"/>
      <c r="F23" s="346"/>
    </row>
    <row r="24" spans="2:8" ht="26.25" customHeight="1" x14ac:dyDescent="0.25">
      <c r="B24" s="346"/>
      <c r="C24" s="348" t="s">
        <v>1661</v>
      </c>
      <c r="D24" s="346"/>
      <c r="E24" s="341">
        <v>69196.09</v>
      </c>
      <c r="F24" s="346"/>
    </row>
    <row r="25" spans="2:8" ht="18" x14ac:dyDescent="0.25">
      <c r="B25" s="346"/>
      <c r="C25" s="349"/>
      <c r="D25" s="346"/>
      <c r="E25" s="346"/>
      <c r="F25" s="346"/>
    </row>
    <row r="26" spans="2:8" ht="27.75" customHeight="1" x14ac:dyDescent="0.25">
      <c r="B26" s="346"/>
      <c r="C26" s="348" t="s">
        <v>1662</v>
      </c>
      <c r="D26" s="346"/>
      <c r="E26" s="341">
        <v>39901.879999999997</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67525.37</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Moultonborough</v>
      </c>
      <c r="C5" s="363"/>
      <c r="D5" s="363"/>
      <c r="E5" s="363"/>
      <c r="F5" s="363"/>
    </row>
    <row r="8" spans="1:9" ht="18" x14ac:dyDescent="0.25">
      <c r="A8" s="317" t="s">
        <v>1576</v>
      </c>
      <c r="F8" s="324" t="s">
        <v>1594</v>
      </c>
    </row>
    <row r="9" spans="1:9" ht="15" x14ac:dyDescent="0.2">
      <c r="A9" s="315" t="s">
        <v>1577</v>
      </c>
      <c r="B9" s="318">
        <f>'DOE25'!G97</f>
        <v>27189.22</v>
      </c>
      <c r="F9" s="315" t="s">
        <v>1590</v>
      </c>
    </row>
    <row r="10" spans="1:9" ht="15" x14ac:dyDescent="0.2">
      <c r="A10" s="315" t="s">
        <v>1578</v>
      </c>
      <c r="B10" s="318">
        <f>'DOE25'!G112-'DOE25'!G97</f>
        <v>0</v>
      </c>
      <c r="F10" s="315" t="s">
        <v>1591</v>
      </c>
    </row>
    <row r="11" spans="1:9" ht="15" x14ac:dyDescent="0.2">
      <c r="A11" s="315" t="s">
        <v>1579</v>
      </c>
      <c r="B11" s="318">
        <f>'DOE25'!G140</f>
        <v>2880.97</v>
      </c>
      <c r="F11" s="315" t="s">
        <v>1592</v>
      </c>
    </row>
    <row r="12" spans="1:9" ht="15" x14ac:dyDescent="0.2">
      <c r="A12" s="315" t="s">
        <v>1580</v>
      </c>
      <c r="B12" s="318">
        <f>'DOE25'!G170</f>
        <v>157230.43</v>
      </c>
      <c r="F12" s="315" t="s">
        <v>1593</v>
      </c>
    </row>
    <row r="13" spans="1:9" ht="15" x14ac:dyDescent="0.2">
      <c r="A13" s="315" t="s">
        <v>1581</v>
      </c>
      <c r="B13" s="318">
        <f>'DOE25'!G193-'DOE25'!G180</f>
        <v>0</v>
      </c>
      <c r="F13" s="315" t="s">
        <v>1603</v>
      </c>
    </row>
    <row r="14" spans="1:9" ht="18" x14ac:dyDescent="0.25">
      <c r="A14" s="317" t="s">
        <v>732</v>
      </c>
      <c r="B14" s="319">
        <f>SUM(B9:B13)</f>
        <v>187300.62</v>
      </c>
    </row>
    <row r="16" spans="1:9" ht="18" x14ac:dyDescent="0.25">
      <c r="A16" s="317" t="s">
        <v>786</v>
      </c>
      <c r="F16" s="324" t="s">
        <v>1595</v>
      </c>
    </row>
    <row r="17" spans="1:6" ht="15" x14ac:dyDescent="0.2">
      <c r="A17" s="315" t="s">
        <v>1582</v>
      </c>
      <c r="B17" s="318">
        <f>'DOE25'!L363-'DOE25'!L362</f>
        <v>185737.87</v>
      </c>
      <c r="F17" s="315" t="s">
        <v>1596</v>
      </c>
    </row>
    <row r="18" spans="1:6" ht="15" x14ac:dyDescent="0.2">
      <c r="A18" s="315" t="s">
        <v>1583</v>
      </c>
      <c r="B18" s="328"/>
      <c r="F18" s="324" t="s">
        <v>1620</v>
      </c>
    </row>
    <row r="19" spans="1:6" ht="18" x14ac:dyDescent="0.25">
      <c r="A19" s="317" t="s">
        <v>725</v>
      </c>
      <c r="B19" s="319">
        <f>SUM(B17:B18)</f>
        <v>185737.87</v>
      </c>
    </row>
    <row r="21" spans="1:6" ht="18.75" thickBot="1" x14ac:dyDescent="0.3">
      <c r="A21" s="317" t="s">
        <v>1584</v>
      </c>
    </row>
    <row r="22" spans="1:6" ht="18.75" thickTop="1" x14ac:dyDescent="0.25">
      <c r="A22" s="317" t="s">
        <v>1585</v>
      </c>
      <c r="B22" s="323">
        <f>B14-B19</f>
        <v>1562.75</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1562.75</v>
      </c>
      <c r="F33" s="315" t="s">
        <v>1601</v>
      </c>
    </row>
    <row r="36" spans="1:6" ht="15" x14ac:dyDescent="0.2">
      <c r="A36" s="315" t="s">
        <v>1587</v>
      </c>
      <c r="B36" s="329">
        <v>15000</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Moultonborough</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3295881.22</v>
      </c>
      <c r="C9" s="229">
        <f>'DOE25'!G198+'DOE25'!G216+'DOE25'!G234+'DOE25'!G277+'DOE25'!G296+'DOE25'!G315</f>
        <v>1750851.86</v>
      </c>
    </row>
    <row r="10" spans="1:3" x14ac:dyDescent="0.2">
      <c r="A10" t="s">
        <v>775</v>
      </c>
      <c r="B10" s="240">
        <v>2897981.31</v>
      </c>
      <c r="C10" s="240">
        <v>1592575.54</v>
      </c>
    </row>
    <row r="11" spans="1:3" x14ac:dyDescent="0.2">
      <c r="A11" t="s">
        <v>776</v>
      </c>
      <c r="B11" s="240">
        <v>261695.09</v>
      </c>
      <c r="C11" s="240">
        <v>147856.65</v>
      </c>
    </row>
    <row r="12" spans="1:3" x14ac:dyDescent="0.2">
      <c r="A12" t="s">
        <v>777</v>
      </c>
      <c r="B12" s="240">
        <v>136204.82</v>
      </c>
      <c r="C12" s="240">
        <v>10419.67</v>
      </c>
    </row>
    <row r="13" spans="1:3" x14ac:dyDescent="0.2">
      <c r="A13" t="str">
        <f>IF(B9=B13,IF(C9=C13,"Check Total OK","Check Total Error"),"Check Total Error")</f>
        <v>Check Total OK</v>
      </c>
      <c r="B13" s="231">
        <f>SUM(B10:B12)</f>
        <v>3295881.2199999997</v>
      </c>
      <c r="C13" s="231">
        <f>SUM(C10:C12)</f>
        <v>1750851.8599999999</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1494579.32</v>
      </c>
      <c r="C18" s="229">
        <f>'DOE25'!G199+'DOE25'!G217+'DOE25'!G235+'DOE25'!G278+'DOE25'!G297+'DOE25'!G316</f>
        <v>518335.43999999994</v>
      </c>
    </row>
    <row r="19" spans="1:3" x14ac:dyDescent="0.2">
      <c r="A19" t="s">
        <v>775</v>
      </c>
      <c r="B19" s="240">
        <v>856584.72</v>
      </c>
      <c r="C19" s="240">
        <v>353610.11</v>
      </c>
    </row>
    <row r="20" spans="1:3" x14ac:dyDescent="0.2">
      <c r="A20" t="s">
        <v>776</v>
      </c>
      <c r="B20" s="240">
        <v>583415.5</v>
      </c>
      <c r="C20" s="240">
        <v>142376.21</v>
      </c>
    </row>
    <row r="21" spans="1:3" x14ac:dyDescent="0.2">
      <c r="A21" t="s">
        <v>777</v>
      </c>
      <c r="B21" s="240">
        <v>54579.1</v>
      </c>
      <c r="C21" s="240">
        <v>22349.119999999999</v>
      </c>
    </row>
    <row r="22" spans="1:3" x14ac:dyDescent="0.2">
      <c r="A22" t="str">
        <f>IF(B18=B22,IF(C18=C22,"Check Total OK","Check Total Error"),"Check Total Error")</f>
        <v>Check Total OK</v>
      </c>
      <c r="B22" s="231">
        <f>SUM(B19:B21)</f>
        <v>1494579.32</v>
      </c>
      <c r="C22" s="231">
        <f>SUM(C19:C21)</f>
        <v>518335.43999999994</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13900.03</v>
      </c>
      <c r="C27" s="234">
        <f>'DOE25'!G200+'DOE25'!G218+'DOE25'!G236+'DOE25'!G279+'DOE25'!G298+'DOE25'!G317</f>
        <v>149.82</v>
      </c>
    </row>
    <row r="28" spans="1:3" x14ac:dyDescent="0.2">
      <c r="A28" t="s">
        <v>775</v>
      </c>
      <c r="B28" s="240">
        <v>13900.03</v>
      </c>
      <c r="C28" s="240">
        <v>149.82</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13900.03</v>
      </c>
      <c r="C31" s="231">
        <f>SUM(C28:C30)</f>
        <v>149.82</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141559.63</v>
      </c>
      <c r="C36" s="235">
        <f>'DOE25'!G201+'DOE25'!G219+'DOE25'!G237+'DOE25'!G280+'DOE25'!G299+'DOE25'!G318</f>
        <v>27426.75</v>
      </c>
    </row>
    <row r="37" spans="1:3" x14ac:dyDescent="0.2">
      <c r="A37" t="s">
        <v>775</v>
      </c>
      <c r="B37" s="240">
        <v>141559.63</v>
      </c>
      <c r="C37" s="240">
        <v>27426.75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141559.63</v>
      </c>
      <c r="C40" s="231">
        <f>SUM(C37:C39)</f>
        <v>27426.75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J41" sqref="J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Moultonborough</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8402489.5899999999</v>
      </c>
      <c r="D5" s="20">
        <f>SUM('DOE25'!L198:L201)+SUM('DOE25'!L216:L219)+SUM('DOE25'!L234:L237)-F5-G5-H5</f>
        <v>8296392.96</v>
      </c>
      <c r="E5" s="243"/>
      <c r="F5" s="244"/>
      <c r="G5" s="53">
        <f>SUM('DOE25'!J198:J201)+SUM('DOE25'!J216:J219)+SUM('DOE25'!J234:J237)</f>
        <v>25203.510000000002</v>
      </c>
      <c r="H5" s="53">
        <f>SUM('DOE25'!K198:K201)+SUM('DOE25'!K216:K219)+SUM('DOE25'!K234:K237)</f>
        <v>80893.12000000001</v>
      </c>
      <c r="I5" s="254"/>
    </row>
    <row r="6" spans="1:9" x14ac:dyDescent="0.2">
      <c r="A6" s="32">
        <v>2100</v>
      </c>
      <c r="B6" t="s">
        <v>796</v>
      </c>
      <c r="C6" s="273">
        <f t="shared" si="0"/>
        <v>666896.1</v>
      </c>
      <c r="D6" s="20">
        <f>'DOE25'!L203+'DOE25'!L221+'DOE25'!L239-F6-G6-H6</f>
        <v>151961.68</v>
      </c>
      <c r="E6" s="243"/>
      <c r="F6" s="244">
        <v>513419.42</v>
      </c>
      <c r="G6" s="53">
        <f>'DOE25'!J203+'DOE25'!J221+'DOE25'!J239</f>
        <v>1515</v>
      </c>
      <c r="H6" s="53">
        <f>'DOE25'!K203+'DOE25'!K221+'DOE25'!K239</f>
        <v>0</v>
      </c>
      <c r="I6" s="254"/>
    </row>
    <row r="7" spans="1:9" x14ac:dyDescent="0.2">
      <c r="A7" s="32">
        <v>2200</v>
      </c>
      <c r="B7" t="s">
        <v>821</v>
      </c>
      <c r="C7" s="273">
        <f t="shared" si="0"/>
        <v>1213129.6400000001</v>
      </c>
      <c r="D7" s="20">
        <f>'DOE25'!L204+'DOE25'!L222+'DOE25'!L240-F7-G7-H7</f>
        <v>1035861.5500000002</v>
      </c>
      <c r="E7" s="243"/>
      <c r="F7" s="244"/>
      <c r="G7" s="53">
        <f>'DOE25'!J204+'DOE25'!J222+'DOE25'!J240</f>
        <v>171860.09</v>
      </c>
      <c r="H7" s="53">
        <f>'DOE25'!K204+'DOE25'!K222+'DOE25'!K240</f>
        <v>5408</v>
      </c>
      <c r="I7" s="254"/>
    </row>
    <row r="8" spans="1:9" x14ac:dyDescent="0.2">
      <c r="A8" s="32">
        <v>2300</v>
      </c>
      <c r="B8" t="s">
        <v>797</v>
      </c>
      <c r="C8" s="273">
        <f t="shared" si="0"/>
        <v>268372.71999999991</v>
      </c>
      <c r="D8" s="243"/>
      <c r="E8" s="20">
        <f>'DOE25'!L205+'DOE25'!L223+'DOE25'!L241-F8-G8-H8-D9-D11</f>
        <v>229175.2699999999</v>
      </c>
      <c r="F8" s="244"/>
      <c r="G8" s="53">
        <f>'DOE25'!J205+'DOE25'!J223+'DOE25'!J241</f>
        <v>5161.8099999999995</v>
      </c>
      <c r="H8" s="53">
        <f>'DOE25'!K205+'DOE25'!K223+'DOE25'!K241</f>
        <v>34035.64</v>
      </c>
      <c r="I8" s="254"/>
    </row>
    <row r="9" spans="1:9" ht="14.25" x14ac:dyDescent="0.2">
      <c r="A9" s="32">
        <v>2310</v>
      </c>
      <c r="B9" s="185" t="s">
        <v>888</v>
      </c>
      <c r="C9" s="273">
        <f t="shared" si="0"/>
        <v>43936</v>
      </c>
      <c r="D9" s="244">
        <v>43936</v>
      </c>
      <c r="E9" s="243"/>
      <c r="F9" s="251"/>
      <c r="G9" s="251"/>
      <c r="H9" s="251"/>
      <c r="I9" s="254"/>
    </row>
    <row r="10" spans="1:9" ht="14.25" x14ac:dyDescent="0.2">
      <c r="A10" s="32">
        <v>2317</v>
      </c>
      <c r="B10" s="185" t="s">
        <v>889</v>
      </c>
      <c r="C10" s="273">
        <f t="shared" si="0"/>
        <v>9200</v>
      </c>
      <c r="D10" s="243"/>
      <c r="E10" s="244">
        <v>9200</v>
      </c>
      <c r="F10" s="251"/>
      <c r="G10" s="251"/>
      <c r="H10" s="251"/>
      <c r="I10" s="254"/>
    </row>
    <row r="11" spans="1:9" ht="14.25" x14ac:dyDescent="0.2">
      <c r="A11" s="32">
        <v>2321</v>
      </c>
      <c r="B11" s="185" t="s">
        <v>890</v>
      </c>
      <c r="C11" s="273">
        <f t="shared" si="0"/>
        <v>328296.98</v>
      </c>
      <c r="D11" s="244">
        <v>328296.98</v>
      </c>
      <c r="E11" s="243"/>
      <c r="F11" s="251"/>
      <c r="G11" s="251"/>
      <c r="H11" s="251"/>
      <c r="I11" s="254"/>
    </row>
    <row r="12" spans="1:9" x14ac:dyDescent="0.2">
      <c r="A12" s="32">
        <v>2400</v>
      </c>
      <c r="B12" t="s">
        <v>711</v>
      </c>
      <c r="C12" s="273">
        <f t="shared" si="0"/>
        <v>740873.6100000001</v>
      </c>
      <c r="D12" s="20">
        <f>'DOE25'!L206+'DOE25'!L224+'DOE25'!L242-F12-G12-H12</f>
        <v>731829.21000000008</v>
      </c>
      <c r="E12" s="243"/>
      <c r="F12" s="244"/>
      <c r="G12" s="53">
        <f>'DOE25'!J206+'DOE25'!J224+'DOE25'!J242</f>
        <v>0</v>
      </c>
      <c r="H12" s="53">
        <f>'DOE25'!K206+'DOE25'!K224+'DOE25'!K242</f>
        <v>9044.4</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1173428.6000000001</v>
      </c>
      <c r="D14" s="20">
        <f>'DOE25'!L208+'DOE25'!L226+'DOE25'!L244-F14-G14-H14</f>
        <v>1133293.6300000001</v>
      </c>
      <c r="E14" s="243"/>
      <c r="F14" s="244">
        <v>39450</v>
      </c>
      <c r="G14" s="53">
        <f>'DOE25'!J208+'DOE25'!J226+'DOE25'!J244</f>
        <v>684.97</v>
      </c>
      <c r="H14" s="53">
        <f>'DOE25'!K208+'DOE25'!K226+'DOE25'!K244</f>
        <v>0</v>
      </c>
      <c r="I14" s="254"/>
    </row>
    <row r="15" spans="1:9" x14ac:dyDescent="0.2">
      <c r="A15" s="32">
        <v>2700</v>
      </c>
      <c r="B15" t="s">
        <v>799</v>
      </c>
      <c r="C15" s="273">
        <f t="shared" si="0"/>
        <v>537442.15999999992</v>
      </c>
      <c r="D15" s="20">
        <f>'DOE25'!L209+'DOE25'!L227+'DOE25'!L245-F15-G15-H15</f>
        <v>16560.959999999905</v>
      </c>
      <c r="E15" s="243"/>
      <c r="F15" s="244">
        <v>520881.2</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36492.239999999998</v>
      </c>
      <c r="D19" s="20">
        <f>'DOE25'!L254-F19-G19-H19</f>
        <v>34142.239999999998</v>
      </c>
      <c r="E19" s="243"/>
      <c r="F19" s="244"/>
      <c r="G19" s="53">
        <f>'DOE25'!J254</f>
        <v>2350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185737.87</v>
      </c>
      <c r="D29" s="281">
        <f>'DOE25'!L359+'DOE25'!L360+'DOE25'!L361-'DOE25'!I368-F29-G29-H29</f>
        <v>38524.869999999995</v>
      </c>
      <c r="E29" s="243"/>
      <c r="F29" s="244">
        <v>147213</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407165.5</v>
      </c>
      <c r="D31" s="20">
        <f>'DOE25'!L291+'DOE25'!L310+'DOE25'!L329+'DOE25'!L334+'DOE25'!L335+'DOE25'!L336-F31-G31-H31</f>
        <v>216035.36000000004</v>
      </c>
      <c r="E31" s="243"/>
      <c r="F31" s="244">
        <v>123155.79</v>
      </c>
      <c r="G31" s="53">
        <f>'DOE25'!J291+'DOE25'!J310+'DOE25'!J329+'DOE25'!J334+'DOE25'!J335+'DOE25'!J336</f>
        <v>67974.349999999991</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12026835.440000001</v>
      </c>
      <c r="E33" s="245">
        <f t="shared" si="1"/>
        <v>238375.2699999999</v>
      </c>
      <c r="F33" s="245">
        <f t="shared" si="1"/>
        <v>1344119.41</v>
      </c>
      <c r="G33" s="245">
        <f t="shared" si="1"/>
        <v>274749.73</v>
      </c>
      <c r="H33" s="245">
        <f t="shared" si="1"/>
        <v>129381.16</v>
      </c>
      <c r="I33" s="245">
        <f t="shared" si="1"/>
        <v>0</v>
      </c>
    </row>
    <row r="35" spans="1:9" ht="12" thickBot="1" x14ac:dyDescent="0.25">
      <c r="B35" s="249" t="s">
        <v>831</v>
      </c>
      <c r="D35" s="250">
        <f>E33</f>
        <v>238375.2699999999</v>
      </c>
      <c r="E35" s="246"/>
      <c r="F35" s="333" t="s">
        <v>1632</v>
      </c>
      <c r="G35" s="334"/>
      <c r="H35" s="334"/>
      <c r="I35" s="334"/>
    </row>
    <row r="36" spans="1:9" ht="12" thickTop="1" x14ac:dyDescent="0.2">
      <c r="B36" t="s">
        <v>810</v>
      </c>
      <c r="D36" s="20">
        <f>D33</f>
        <v>12026835.440000001</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Moultonborough</v>
      </c>
      <c r="B2" s="126">
        <f>'DOE25'!B2</f>
        <v>369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5528746.9100000001</v>
      </c>
      <c r="G4" s="300">
        <f>'DOE25'!L212+'DOE25'!L291</f>
        <v>5528746.9100000001</v>
      </c>
      <c r="H4" s="353">
        <f>F4-G4</f>
        <v>0</v>
      </c>
      <c r="I4" s="371" t="str">
        <f>IF(H4=0,"","ISSUES!! Please review page 7 and 11 totals in comparison with total on this page")</f>
        <v/>
      </c>
      <c r="N4"/>
    </row>
    <row r="5" spans="1:18" x14ac:dyDescent="0.2">
      <c r="A5" s="21"/>
      <c r="B5" s="301" t="str">
        <f>IFERROR(VLOOKUP(A5,'School Tables'!$C$3:$D$365,2,FALSE),"")</f>
        <v/>
      </c>
      <c r="C5" s="294" t="str">
        <f>IFERROR(INDEX('School Tables'!$B$3:$B$365,MATCH('School Level Expenditures'!B5,'School Tables'!$D$3:$D$365,0)),"")</f>
        <v/>
      </c>
      <c r="D5" s="291"/>
      <c r="E5" s="291"/>
      <c r="F5" s="304">
        <f>D5+E5</f>
        <v>0</v>
      </c>
      <c r="G5" s="294"/>
      <c r="H5" s="294"/>
      <c r="I5" s="372"/>
      <c r="N5"/>
    </row>
    <row r="6" spans="1:18" x14ac:dyDescent="0.2">
      <c r="A6" s="21" t="s">
        <v>1284</v>
      </c>
      <c r="B6" s="301">
        <f>IFERROR(VLOOKUP(A6,'School Tables'!$C$3:$D$365,2,FALSE),"")</f>
        <v>22115</v>
      </c>
      <c r="C6" s="294" t="str">
        <f>IFERROR(INDEX('School Tables'!$B$3:$B$365,MATCH('School Level Expenditures'!B6,'School Tables'!$D$3:$D$365,0)),"")</f>
        <v>Moultonborough</v>
      </c>
      <c r="D6" s="291">
        <v>5288971.12</v>
      </c>
      <c r="E6" s="291">
        <v>239775.79</v>
      </c>
      <c r="F6" s="304">
        <f t="shared" ref="F6:F20" si="0">D6+E6</f>
        <v>5528746.9100000001</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5288971.12</v>
      </c>
      <c r="E21" s="351">
        <f>SUM(E5:E20)</f>
        <v>239775.79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3235228.48</v>
      </c>
      <c r="G24" s="300">
        <f>'DOE25'!L230+'DOE25'!L310</f>
        <v>3235228.4799999995</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t="s">
        <v>1616</v>
      </c>
      <c r="B26" s="301">
        <f>IFERROR(VLOOKUP(A26,'School Tables'!$I$3:$J$80,2,FALSE),"")</f>
        <v>26960</v>
      </c>
      <c r="C26" s="294" t="str">
        <f t="array" ref="C26">IFERROR(INDEX('School Tables'!$H$3:$H$80,MATCH('School Level Expenditures'!B26,'School Tables'!$J$3:$J$80,0)),"")</f>
        <v>Moultonborough</v>
      </c>
      <c r="D26" s="291">
        <v>3161278.1</v>
      </c>
      <c r="E26" s="291">
        <v>73950.38</v>
      </c>
      <c r="F26" s="304">
        <f t="shared" ref="F26:F32" si="1">D26+E26</f>
        <v>3235228.48</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3161278.1</v>
      </c>
      <c r="E33" s="351">
        <f>SUM(E25:E32)</f>
        <v>73950.38</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5018055.51</v>
      </c>
      <c r="G36" s="300">
        <f>'DOE25'!L248+'DOE25'!L329</f>
        <v>5018055.51</v>
      </c>
      <c r="H36" s="353">
        <f>F36-G36</f>
        <v>0</v>
      </c>
      <c r="I36" s="371"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2"/>
      <c r="N37"/>
    </row>
    <row r="38" spans="1:14" x14ac:dyDescent="0.2">
      <c r="A38" s="21" t="s">
        <v>1285</v>
      </c>
      <c r="B38" s="301">
        <f>IFERROR(VLOOKUP(A38,'School Tables'!$O$3:$P$118,2,FALSE),"")</f>
        <v>22120</v>
      </c>
      <c r="C38" s="294" t="str">
        <f t="array" ref="C38">IFERROR(INDEX('School Tables'!$N$3:$N$118,MATCH('School Level Expenditures'!B38,'School Tables'!$P$3:$P$118,0)),"")</f>
        <v>Moultonborough</v>
      </c>
      <c r="D38" s="291">
        <v>4924616.18</v>
      </c>
      <c r="E38" s="291">
        <v>93439.33</v>
      </c>
      <c r="F38" s="304">
        <f t="shared" si="2"/>
        <v>5018055.51</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4924616.18</v>
      </c>
      <c r="E43" s="352">
        <f>SUM(E37:E42)</f>
        <v>93439.33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M41" sqref="M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Moultonborough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2083744.97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1562.75</v>
      </c>
      <c r="E11" s="95">
        <f>'DOE25'!H12</f>
        <v>32741.84</v>
      </c>
      <c r="F11" s="95">
        <f>'DOE25'!I12</f>
        <v>0</v>
      </c>
      <c r="G11" s="95">
        <f>'DOE25'!J12</f>
        <v>1669131.2</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30601.84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2083744.97</v>
      </c>
      <c r="D18" s="41">
        <f>SUM(D8:D17)</f>
        <v>1562.75</v>
      </c>
      <c r="E18" s="41">
        <f>SUM(E8:E17)</f>
        <v>63343.68</v>
      </c>
      <c r="F18" s="41">
        <f>SUM(F8:F17)</f>
        <v>0</v>
      </c>
      <c r="G18" s="41">
        <f>SUM(G8:G17)</f>
        <v>1669131.2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32741.84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775982.35</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775982.35</v>
      </c>
      <c r="D31" s="41">
        <f>SUM(D21:D30)</f>
        <v>0</v>
      </c>
      <c r="E31" s="41">
        <f>SUM(E21:E30)</f>
        <v>32741.84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87400</v>
      </c>
      <c r="D35" s="95">
        <f>'DOE25'!G36</f>
        <v>0</v>
      </c>
      <c r="E35" s="95">
        <f>'DOE25'!H36</f>
        <v>30601.84</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1562.75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251487.5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150000</v>
      </c>
      <c r="D47" s="95">
        <f>'DOE25'!G48</f>
        <v>0</v>
      </c>
      <c r="E47" s="95">
        <f>'DOE25'!H48</f>
        <v>0</v>
      </c>
      <c r="F47" s="95">
        <f>'DOE25'!I48</f>
        <v>0</v>
      </c>
      <c r="G47" s="95">
        <f>'DOE25'!J48</f>
        <v>1669131.2</v>
      </c>
      <c r="H47" s="124"/>
      <c r="I47" s="124"/>
    </row>
    <row r="48" spans="1:9" x14ac:dyDescent="0.2">
      <c r="A48" s="1" t="s">
        <v>882</v>
      </c>
      <c r="B48" s="6">
        <v>753</v>
      </c>
      <c r="C48" s="95">
        <f>'DOE25'!F49</f>
        <v>618875.12</v>
      </c>
      <c r="D48" s="95">
        <f>'DOE25'!G49</f>
        <v>0</v>
      </c>
      <c r="E48" s="95">
        <f>'DOE25'!H49</f>
        <v>0</v>
      </c>
      <c r="F48" s="95">
        <f>'DOE25'!I49</f>
        <v>0</v>
      </c>
      <c r="G48" s="95">
        <f>'DOE25'!J49</f>
        <v>0</v>
      </c>
      <c r="H48" s="124"/>
      <c r="I48" s="124"/>
    </row>
    <row r="49" spans="1:9" ht="12" thickBot="1" x14ac:dyDescent="0.25">
      <c r="A49" s="29" t="s">
        <v>883</v>
      </c>
      <c r="B49" s="71">
        <v>770</v>
      </c>
      <c r="C49" s="95">
        <f>'DOE25'!F50</f>
        <v>75000</v>
      </c>
      <c r="D49" s="24" t="s">
        <v>288</v>
      </c>
      <c r="E49" s="24" t="s">
        <v>288</v>
      </c>
      <c r="F49" s="24" t="s">
        <v>288</v>
      </c>
      <c r="G49" s="24" t="s">
        <v>288</v>
      </c>
      <c r="H49" s="124"/>
      <c r="I49" s="124"/>
    </row>
    <row r="50" spans="1:9" ht="12.75" thickTop="1" thickBot="1" x14ac:dyDescent="0.25">
      <c r="A50" s="38" t="s">
        <v>884</v>
      </c>
      <c r="B50" s="48"/>
      <c r="C50" s="41">
        <f>SUM(C34:C49)</f>
        <v>1307762.6200000001</v>
      </c>
      <c r="D50" s="41">
        <f>SUM(D34:D49)</f>
        <v>1562.75</v>
      </c>
      <c r="E50" s="41">
        <f>SUM(E34:E49)</f>
        <v>30601.84</v>
      </c>
      <c r="F50" s="41">
        <f>SUM(F34:F49)</f>
        <v>0</v>
      </c>
      <c r="G50" s="41">
        <f>SUM(G34:G49)</f>
        <v>1669131.2</v>
      </c>
      <c r="H50" s="124"/>
      <c r="I50" s="124"/>
    </row>
    <row r="51" spans="1:9" ht="12" thickTop="1" x14ac:dyDescent="0.2">
      <c r="A51" s="38" t="s">
        <v>885</v>
      </c>
      <c r="B51" s="2"/>
      <c r="C51" s="41">
        <f>C50+C31</f>
        <v>2083744.9700000002</v>
      </c>
      <c r="D51" s="41">
        <f>D50+D31</f>
        <v>1562.75</v>
      </c>
      <c r="E51" s="41">
        <f>E50+E31</f>
        <v>63343.68</v>
      </c>
      <c r="F51" s="41">
        <f>F50+F31</f>
        <v>0</v>
      </c>
      <c r="G51" s="41">
        <f>G50+G31</f>
        <v>1669131.2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7478941</v>
      </c>
      <c r="D56" s="95">
        <f>'DOE25'!G60</f>
        <v>0</v>
      </c>
      <c r="E56" s="95">
        <f>'DOE25'!H60</f>
        <v>0</v>
      </c>
      <c r="F56" s="95">
        <f>'DOE25'!I60</f>
        <v>0</v>
      </c>
      <c r="G56" s="95">
        <f>'DOE25'!J60</f>
        <v>0</v>
      </c>
      <c r="H56"/>
      <c r="I56"/>
    </row>
    <row r="57" spans="1:9" x14ac:dyDescent="0.2">
      <c r="A57" s="1" t="s">
        <v>164</v>
      </c>
      <c r="B57" s="6" t="s">
        <v>165</v>
      </c>
      <c r="C57" s="95">
        <f>'DOE25'!F79</f>
        <v>85078.41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9784.4500000000007</v>
      </c>
      <c r="D59" s="95">
        <f>'DOE25'!G96</f>
        <v>0</v>
      </c>
      <c r="E59" s="95">
        <f>'DOE25'!H96</f>
        <v>0</v>
      </c>
      <c r="F59" s="95">
        <f>'DOE25'!I96</f>
        <v>0</v>
      </c>
      <c r="G59" s="95">
        <f>'DOE25'!J96</f>
        <v>60899.7</v>
      </c>
      <c r="H59"/>
      <c r="I59"/>
    </row>
    <row r="60" spans="1:9" x14ac:dyDescent="0.2">
      <c r="A60" s="1" t="s">
        <v>170</v>
      </c>
      <c r="B60" s="118" t="s">
        <v>171</v>
      </c>
      <c r="C60" s="24" t="s">
        <v>288</v>
      </c>
      <c r="D60" s="95">
        <f>'DOE25'!G97</f>
        <v>27189.22</v>
      </c>
      <c r="E60" s="24" t="s">
        <v>288</v>
      </c>
      <c r="F60" s="24" t="s">
        <v>288</v>
      </c>
      <c r="G60" s="24" t="s">
        <v>288</v>
      </c>
      <c r="H60"/>
      <c r="I60"/>
    </row>
    <row r="61" spans="1:9" ht="12" thickBot="1" x14ac:dyDescent="0.25">
      <c r="A61" s="1" t="s">
        <v>172</v>
      </c>
      <c r="B61" s="118" t="s">
        <v>173</v>
      </c>
      <c r="C61" s="95">
        <f>SUM('DOE25'!F98:F110)</f>
        <v>505336.47</v>
      </c>
      <c r="D61" s="95">
        <f>SUM('DOE25'!G98:G110)</f>
        <v>0</v>
      </c>
      <c r="E61" s="95">
        <f>SUM('DOE25'!H98:H110)</f>
        <v>6000</v>
      </c>
      <c r="F61" s="95">
        <f>SUM('DOE25'!I98:I110)</f>
        <v>0</v>
      </c>
      <c r="G61" s="95">
        <f>SUM('DOE25'!J98:J110)</f>
        <v>1608231.5</v>
      </c>
      <c r="H61"/>
      <c r="I61"/>
    </row>
    <row r="62" spans="1:9" ht="12.75" thickTop="1" thickBot="1" x14ac:dyDescent="0.25">
      <c r="A62" s="29" t="s">
        <v>174</v>
      </c>
      <c r="B62" s="6"/>
      <c r="C62" s="130">
        <f>SUM(C57:C61)</f>
        <v>600199.32999999996</v>
      </c>
      <c r="D62" s="130">
        <f>SUM(D57:D61)</f>
        <v>27189.22</v>
      </c>
      <c r="E62" s="130">
        <f>SUM(E57:E61)</f>
        <v>6000</v>
      </c>
      <c r="F62" s="130">
        <f>SUM(F57:F61)</f>
        <v>0</v>
      </c>
      <c r="G62" s="130">
        <f>SUM(G57:G61)</f>
        <v>1669131.2</v>
      </c>
      <c r="H62"/>
      <c r="I62"/>
    </row>
    <row r="63" spans="1:9" ht="12" thickTop="1" x14ac:dyDescent="0.2">
      <c r="A63" s="29" t="s">
        <v>175</v>
      </c>
      <c r="B63" s="6"/>
      <c r="C63" s="22">
        <f>C56+C62</f>
        <v>8079140.3300000001</v>
      </c>
      <c r="D63" s="22">
        <f>D56+D62</f>
        <v>27189.22</v>
      </c>
      <c r="E63" s="22">
        <f>E56+E62</f>
        <v>6000</v>
      </c>
      <c r="F63" s="22">
        <f>F56+F62</f>
        <v>0</v>
      </c>
      <c r="G63" s="22">
        <f>G56+G62</f>
        <v>1669131.2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6308270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6310265.21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165248.19</v>
      </c>
      <c r="D75" s="24" t="s">
        <v>288</v>
      </c>
      <c r="E75" s="24" t="s">
        <v>288</v>
      </c>
      <c r="F75" s="24" t="s">
        <v>288</v>
      </c>
      <c r="G75" s="24" t="s">
        <v>288</v>
      </c>
      <c r="H75"/>
      <c r="I75"/>
    </row>
    <row r="76" spans="1:9" x14ac:dyDescent="0.2">
      <c r="A76" s="1" t="s">
        <v>257</v>
      </c>
      <c r="B76" s="6" t="s">
        <v>179</v>
      </c>
      <c r="C76" s="95">
        <f>SUM('DOE25'!F127:F130)</f>
        <v>3998.61</v>
      </c>
      <c r="D76" s="24" t="s">
        <v>288</v>
      </c>
      <c r="E76" s="95">
        <f>SUM('DOE25'!H127:H130)</f>
        <v>0</v>
      </c>
      <c r="F76" s="95">
        <f>SUM('DOE25'!I127:I130)</f>
        <v>0</v>
      </c>
      <c r="G76" s="24" t="s">
        <v>288</v>
      </c>
      <c r="H76"/>
      <c r="I76"/>
    </row>
    <row r="77" spans="1:9" ht="12" thickBot="1" x14ac:dyDescent="0.25">
      <c r="A77" s="1" t="s">
        <v>258</v>
      </c>
      <c r="B77" s="6" t="s">
        <v>180</v>
      </c>
      <c r="C77" s="95">
        <f>SUM('DOE25'!F131:F135)</f>
        <v>181834.72</v>
      </c>
      <c r="D77" s="95">
        <f>SUM('DOE25'!G131:G135)</f>
        <v>2880.97</v>
      </c>
      <c r="E77" s="95">
        <f>SUM('DOE25'!H131:H135)</f>
        <v>0</v>
      </c>
      <c r="F77" s="95">
        <f>SUM('DOE25'!I131:I135)</f>
        <v>0</v>
      </c>
      <c r="G77" s="95">
        <f>SUM('DOE25'!J131:J135)</f>
        <v>0</v>
      </c>
      <c r="H77"/>
      <c r="I77"/>
    </row>
    <row r="78" spans="1:9" ht="12.75" thickTop="1" thickBot="1" x14ac:dyDescent="0.25">
      <c r="A78" s="29" t="s">
        <v>259</v>
      </c>
      <c r="B78" s="6"/>
      <c r="C78" s="130">
        <f>SUM(C72:C77)</f>
        <v>351081.52</v>
      </c>
      <c r="D78" s="130">
        <f>SUM(D72:D77)</f>
        <v>2880.97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6661346.7300000004</v>
      </c>
      <c r="D81" s="130">
        <f>SUM(D79:D80)+D78+D70</f>
        <v>2880.97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53633.2</v>
      </c>
      <c r="D88" s="331">
        <f>SUM('DOE25'!G153:G162)</f>
        <v>157230.43</v>
      </c>
      <c r="E88" s="331">
        <f>SUM('DOE25'!H153:H162)</f>
        <v>431767.33999999997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53633.2</v>
      </c>
      <c r="D91" s="131">
        <f>SUM(D85:D90)</f>
        <v>157230.43</v>
      </c>
      <c r="E91" s="131">
        <f>SUM(E85:E90)</f>
        <v>431767.33999999997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75000</v>
      </c>
    </row>
    <row r="104" spans="1:7" ht="12.75" thickTop="1" thickBot="1" x14ac:dyDescent="0.25">
      <c r="A104" s="33" t="s">
        <v>761</v>
      </c>
      <c r="C104" s="86">
        <f>C63+C81+C91+C103</f>
        <v>14794120.26</v>
      </c>
      <c r="D104" s="86">
        <f>D63+D81+D91+D103</f>
        <v>187300.62</v>
      </c>
      <c r="E104" s="86">
        <f>E63+E81+E91+E103</f>
        <v>437767.33999999997</v>
      </c>
      <c r="F104" s="86">
        <f>F63+F81+F91+F103</f>
        <v>0</v>
      </c>
      <c r="G104" s="86">
        <f>G63+G81+G103</f>
        <v>1744131.2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5367726.37</v>
      </c>
      <c r="D109" s="24" t="s">
        <v>288</v>
      </c>
      <c r="E109" s="95">
        <f>('DOE25'!L277)+('DOE25'!L296)+('DOE25'!L315)</f>
        <v>197337.86</v>
      </c>
      <c r="F109" s="24" t="s">
        <v>288</v>
      </c>
      <c r="G109" s="24" t="s">
        <v>288</v>
      </c>
    </row>
    <row r="110" spans="1:7" x14ac:dyDescent="0.2">
      <c r="A110" t="s">
        <v>198</v>
      </c>
      <c r="B110" s="32" t="s">
        <v>199</v>
      </c>
      <c r="C110" s="95">
        <f>('DOE25'!L199)+('DOE25'!L217)+('DOE25'!L235)</f>
        <v>2728401.9</v>
      </c>
      <c r="D110" s="24" t="s">
        <v>288</v>
      </c>
      <c r="E110" s="95">
        <f>('DOE25'!L278)+('DOE25'!L297)+('DOE25'!L316)</f>
        <v>116624.96000000001</v>
      </c>
      <c r="F110" s="24" t="s">
        <v>288</v>
      </c>
      <c r="G110" s="24" t="s">
        <v>288</v>
      </c>
    </row>
    <row r="111" spans="1:7" x14ac:dyDescent="0.2">
      <c r="A111" t="s">
        <v>200</v>
      </c>
      <c r="B111" s="32" t="s">
        <v>165</v>
      </c>
      <c r="C111" s="95">
        <f>('DOE25'!L200)+('DOE25'!L218)+('DOE25'!L236)</f>
        <v>55409.57</v>
      </c>
      <c r="D111" s="24" t="s">
        <v>288</v>
      </c>
      <c r="E111" s="95">
        <f>('DOE25'!L279)+('DOE25'!L298)+('DOE25'!L317)</f>
        <v>0</v>
      </c>
      <c r="F111" s="24" t="s">
        <v>288</v>
      </c>
      <c r="G111" s="24" t="s">
        <v>288</v>
      </c>
    </row>
    <row r="112" spans="1:7" x14ac:dyDescent="0.2">
      <c r="A112" t="s">
        <v>201</v>
      </c>
      <c r="B112" s="32" t="s">
        <v>167</v>
      </c>
      <c r="C112" s="95">
        <f>('DOE25'!L201)+('DOE25'!L219)+('DOE25'!L237)</f>
        <v>250951.75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36492.239999999998</v>
      </c>
      <c r="D114" s="24" t="s">
        <v>288</v>
      </c>
      <c r="E114" s="95">
        <f>+ SUM('DOE25'!L334:L336)</f>
        <v>0</v>
      </c>
      <c r="F114" s="24" t="s">
        <v>288</v>
      </c>
      <c r="G114" s="24" t="s">
        <v>288</v>
      </c>
    </row>
    <row r="115" spans="1:7" ht="12.75" thickTop="1" thickBot="1" x14ac:dyDescent="0.25">
      <c r="A115" s="33" t="s">
        <v>205</v>
      </c>
      <c r="C115" s="86">
        <f>SUM(C109:C114)</f>
        <v>8438981.8300000001</v>
      </c>
      <c r="D115" s="86">
        <f>SUM(D109:D114)</f>
        <v>0</v>
      </c>
      <c r="E115" s="86">
        <f>SUM(E109:E114)</f>
        <v>313962.82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666896.1</v>
      </c>
      <c r="D118" s="24" t="s">
        <v>288</v>
      </c>
      <c r="E118" s="95">
        <f>+('DOE25'!L282)+('DOE25'!L301)+('DOE25'!L320)</f>
        <v>26448.120000000003</v>
      </c>
      <c r="F118" s="24" t="s">
        <v>288</v>
      </c>
      <c r="G118" s="24" t="s">
        <v>288</v>
      </c>
    </row>
    <row r="119" spans="1:7" x14ac:dyDescent="0.2">
      <c r="A119" t="s">
        <v>208</v>
      </c>
      <c r="B119" s="32" t="s">
        <v>209</v>
      </c>
      <c r="C119" s="95">
        <f>('DOE25'!L204)+('DOE25'!L222)+('DOE25'!L240)</f>
        <v>1213129.6400000001</v>
      </c>
      <c r="D119" s="24" t="s">
        <v>288</v>
      </c>
      <c r="E119" s="95">
        <f>+('DOE25'!L283)+('DOE25'!L302)+('DOE25'!L321)</f>
        <v>66754.559999999998</v>
      </c>
      <c r="F119" s="24" t="s">
        <v>288</v>
      </c>
      <c r="G119" s="24" t="s">
        <v>288</v>
      </c>
    </row>
    <row r="120" spans="1:7" x14ac:dyDescent="0.2">
      <c r="A120" t="s">
        <v>210</v>
      </c>
      <c r="B120" s="32" t="s">
        <v>211</v>
      </c>
      <c r="C120" s="95">
        <f>('DOE25'!L205)+('DOE25'!L223)+('DOE25'!L241)</f>
        <v>640605.69999999995</v>
      </c>
      <c r="D120" s="24" t="s">
        <v>288</v>
      </c>
      <c r="E120" s="95">
        <f>+('DOE25'!L284)+('DOE25'!L303)+('DOE25'!L322)</f>
        <v>0</v>
      </c>
      <c r="F120" s="24" t="s">
        <v>288</v>
      </c>
      <c r="G120" s="24" t="s">
        <v>288</v>
      </c>
    </row>
    <row r="121" spans="1:7" x14ac:dyDescent="0.2">
      <c r="A121" t="s">
        <v>212</v>
      </c>
      <c r="B121" s="32" t="s">
        <v>213</v>
      </c>
      <c r="C121" s="95">
        <f>('DOE25'!L206)+('DOE25'!L224)+('DOE25'!L242)</f>
        <v>740873.6100000001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1173428.6000000001</v>
      </c>
      <c r="D123" s="24" t="s">
        <v>288</v>
      </c>
      <c r="E123" s="95">
        <f>+('DOE25'!L287)+('DOE25'!L306)+('DOE25'!L325)</f>
        <v>0</v>
      </c>
      <c r="F123" s="24" t="s">
        <v>288</v>
      </c>
      <c r="G123" s="24" t="s">
        <v>288</v>
      </c>
    </row>
    <row r="124" spans="1:7" x14ac:dyDescent="0.2">
      <c r="A124" t="s">
        <v>218</v>
      </c>
      <c r="B124" s="32" t="s">
        <v>219</v>
      </c>
      <c r="C124" s="95">
        <f>('DOE25'!L209)+('DOE25'!L227)+('DOE25'!L245+'DOE25'!L255)</f>
        <v>537442.15999999992</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185737.87</v>
      </c>
      <c r="E127" s="24" t="s">
        <v>288</v>
      </c>
      <c r="F127" s="24" t="s">
        <v>288</v>
      </c>
      <c r="G127" s="24" t="s">
        <v>288</v>
      </c>
    </row>
    <row r="128" spans="1:7" ht="12.75" thickTop="1" thickBot="1" x14ac:dyDescent="0.25">
      <c r="A128" s="33" t="s">
        <v>226</v>
      </c>
      <c r="C128" s="86">
        <f>SUM(C118:C127)</f>
        <v>4972375.8100000005</v>
      </c>
      <c r="D128" s="86">
        <f>SUM(D118:D127)</f>
        <v>185737.87</v>
      </c>
      <c r="E128" s="86">
        <f>SUM(E118:E127)</f>
        <v>93202.68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1744131.2000000002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-1669131.2000000002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75000</v>
      </c>
      <c r="D144" s="141">
        <f>SUM(D130:D143)</f>
        <v>0</v>
      </c>
      <c r="E144" s="141">
        <f>SUM(E130:E143)</f>
        <v>0</v>
      </c>
      <c r="F144" s="141">
        <f>SUM(F130:F143)</f>
        <v>0</v>
      </c>
      <c r="G144" s="141">
        <f>SUM(G130:G143)</f>
        <v>0</v>
      </c>
    </row>
    <row r="145" spans="1:9" ht="12.75" thickTop="1" thickBot="1" x14ac:dyDescent="0.25">
      <c r="A145" s="33" t="s">
        <v>244</v>
      </c>
      <c r="C145" s="86">
        <f>(C115+C128+C144)</f>
        <v>13486357.640000001</v>
      </c>
      <c r="D145" s="86">
        <f>(D115+D128+D144)</f>
        <v>185737.87</v>
      </c>
      <c r="E145" s="86">
        <f>(E115+E128+E144)</f>
        <v>407165.5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D65" sqref="D6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Moultonborough</v>
      </c>
    </row>
    <row r="3" spans="1:4" x14ac:dyDescent="0.2">
      <c r="B3" s="188" t="s">
        <v>1666</v>
      </c>
    </row>
    <row r="4" spans="1:4" x14ac:dyDescent="0.2">
      <c r="B4" t="s">
        <v>61</v>
      </c>
      <c r="C4" s="179">
        <f>IF('DOE25'!F666+'DOE25'!F671=0,0,ROUND('DOE25'!F673,0))</f>
        <v>31709</v>
      </c>
    </row>
    <row r="5" spans="1:4" x14ac:dyDescent="0.2">
      <c r="B5" t="s">
        <v>700</v>
      </c>
      <c r="C5" s="179">
        <f>IF('DOE25'!G666+'DOE25'!G671=0,0,ROUND('DOE25'!G673,0))</f>
        <v>21033</v>
      </c>
    </row>
    <row r="6" spans="1:4" x14ac:dyDescent="0.2">
      <c r="B6" t="s">
        <v>62</v>
      </c>
      <c r="C6" s="179">
        <f>IF('DOE25'!H666+'DOE25'!H671=0,0,ROUND('DOE25'!H673,0))</f>
        <v>34124</v>
      </c>
    </row>
    <row r="7" spans="1:4" x14ac:dyDescent="0.2">
      <c r="B7" t="s">
        <v>701</v>
      </c>
      <c r="C7" s="179">
        <f>IF('DOE25'!I666+'DOE25'!I671=0,0,ROUND('DOE25'!I673,0))</f>
        <v>28883</v>
      </c>
    </row>
    <row r="9" spans="1:4" x14ac:dyDescent="0.2">
      <c r="A9" s="187" t="s">
        <v>94</v>
      </c>
      <c r="B9" s="188" t="s">
        <v>1671</v>
      </c>
      <c r="C9" s="181" t="s">
        <v>720</v>
      </c>
      <c r="D9" s="181" t="s">
        <v>721</v>
      </c>
    </row>
    <row r="10" spans="1:4" x14ac:dyDescent="0.2">
      <c r="A10">
        <v>1100</v>
      </c>
      <c r="B10" t="s">
        <v>702</v>
      </c>
      <c r="C10" s="179">
        <f>ROUND('DOE25'!L198+'DOE25'!L216+'DOE25'!L234+'DOE25'!L277+'DOE25'!L296+'DOE25'!L315,0)</f>
        <v>5565064</v>
      </c>
      <c r="D10" s="182">
        <f>ROUND((C10/$C$28)*100,1)</f>
        <v>39.799999999999997</v>
      </c>
    </row>
    <row r="11" spans="1:4" x14ac:dyDescent="0.2">
      <c r="A11">
        <v>1200</v>
      </c>
      <c r="B11" t="s">
        <v>703</v>
      </c>
      <c r="C11" s="179">
        <f>ROUND('DOE25'!L199+'DOE25'!L217+'DOE25'!L235+'DOE25'!L278+'DOE25'!L297+'DOE25'!L316,0)</f>
        <v>2845027</v>
      </c>
      <c r="D11" s="182">
        <f>ROUND((C11/$C$28)*100,1)</f>
        <v>20.399999999999999</v>
      </c>
    </row>
    <row r="12" spans="1:4" x14ac:dyDescent="0.2">
      <c r="A12">
        <v>1300</v>
      </c>
      <c r="B12" t="s">
        <v>704</v>
      </c>
      <c r="C12" s="179">
        <f>ROUND('DOE25'!L200+'DOE25'!L218+'DOE25'!L236+'DOE25'!L279+'DOE25'!L298+'DOE25'!L317,0)</f>
        <v>55410</v>
      </c>
      <c r="D12" s="182">
        <f>ROUND((C12/$C$28)*100,1)</f>
        <v>0.4</v>
      </c>
    </row>
    <row r="13" spans="1:4" x14ac:dyDescent="0.2">
      <c r="A13">
        <v>1400</v>
      </c>
      <c r="B13" t="s">
        <v>705</v>
      </c>
      <c r="C13" s="179">
        <f>ROUND('DOE25'!L201+'DOE25'!L219+'DOE25'!L237+'DOE25'!L280+'DOE25'!L299+'DOE25'!L318,0)</f>
        <v>250952</v>
      </c>
      <c r="D13" s="182">
        <f>ROUND((C13/$C$28)*100,1)</f>
        <v>1.8</v>
      </c>
    </row>
    <row r="14" spans="1:4" x14ac:dyDescent="0.2">
      <c r="D14" s="182"/>
    </row>
    <row r="15" spans="1:4" x14ac:dyDescent="0.2">
      <c r="A15">
        <v>2100</v>
      </c>
      <c r="B15" t="s">
        <v>706</v>
      </c>
      <c r="C15" s="179">
        <f>ROUND('DOE25'!L203+'DOE25'!L221+'DOE25'!L239+'DOE25'!L282+'DOE25'!L301+'DOE25'!L320,0)</f>
        <v>693344</v>
      </c>
      <c r="D15" s="182">
        <f t="shared" ref="D15:D27" si="0">ROUND((C15/$C$28)*100,1)</f>
        <v>5</v>
      </c>
    </row>
    <row r="16" spans="1:4" x14ac:dyDescent="0.2">
      <c r="A16">
        <v>2200</v>
      </c>
      <c r="B16" t="s">
        <v>707</v>
      </c>
      <c r="C16" s="179">
        <f>ROUND('DOE25'!L204+'DOE25'!L222+'DOE25'!L240+'DOE25'!L283+'DOE25'!L302+'DOE25'!L321,0)</f>
        <v>1279884</v>
      </c>
      <c r="D16" s="182">
        <f t="shared" si="0"/>
        <v>9.1999999999999993</v>
      </c>
    </row>
    <row r="17" spans="1:4" x14ac:dyDescent="0.2">
      <c r="A17" s="183" t="s">
        <v>723</v>
      </c>
      <c r="B17" t="s">
        <v>738</v>
      </c>
      <c r="C17" s="179">
        <f>ROUND('DOE25'!L205+'DOE25'!L210+'DOE25'!L223+'DOE25'!L228+'DOE25'!L241+'DOE25'!L246+'DOE25'!L284+'DOE25'!L289+'DOE25'!L303+'DOE25'!L308+'DOE25'!L322+'DOE25'!L327,0)</f>
        <v>640606</v>
      </c>
      <c r="D17" s="182">
        <f t="shared" si="0"/>
        <v>4.5999999999999996</v>
      </c>
    </row>
    <row r="18" spans="1:4" x14ac:dyDescent="0.2">
      <c r="A18">
        <v>2400</v>
      </c>
      <c r="B18" t="s">
        <v>711</v>
      </c>
      <c r="C18" s="179">
        <f>ROUND('DOE25'!L206+'DOE25'!L224+'DOE25'!L242+'DOE25'!L285+'DOE25'!L304+'DOE25'!L323,0)</f>
        <v>740874</v>
      </c>
      <c r="D18" s="182">
        <f t="shared" si="0"/>
        <v>5.3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1173429</v>
      </c>
      <c r="D20" s="182">
        <f t="shared" si="0"/>
        <v>8.4</v>
      </c>
    </row>
    <row r="21" spans="1:4" x14ac:dyDescent="0.2">
      <c r="A21">
        <v>2700</v>
      </c>
      <c r="B21" t="s">
        <v>710</v>
      </c>
      <c r="C21" s="179">
        <f>ROUND('DOE25'!L209+'DOE25'!L227+'DOE25'!L245+'DOE25'!L288+'DOE25'!L307+'DOE25'!L326,0)</f>
        <v>537442</v>
      </c>
      <c r="D21" s="182">
        <f t="shared" si="0"/>
        <v>3.8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36492</v>
      </c>
      <c r="D24" s="182">
        <f t="shared" si="0"/>
        <v>0.3</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158548.78</v>
      </c>
      <c r="D27" s="182">
        <f t="shared" si="0"/>
        <v>1.1000000000000001</v>
      </c>
    </row>
    <row r="28" spans="1:4" x14ac:dyDescent="0.2">
      <c r="B28" s="187" t="s">
        <v>719</v>
      </c>
      <c r="C28" s="180">
        <f>SUM(C10:C27)</f>
        <v>13977072.779999999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13977072.779999999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7478941</v>
      </c>
      <c r="D35" s="182">
        <f t="shared" ref="D35:D40" si="1">ROUND((C35/$C$41)*100,1)</f>
        <v>43.8</v>
      </c>
    </row>
    <row r="36" spans="1:4" x14ac:dyDescent="0.2">
      <c r="B36" s="185" t="s">
        <v>739</v>
      </c>
      <c r="C36" s="179">
        <f>SUM('DOE25'!F112:J112)-SUM('DOE25'!G97:G110)+('DOE25'!F175+'DOE25'!F176+'DOE25'!I175+'DOE25'!I176)-C35</f>
        <v>2275330.5299999993</v>
      </c>
      <c r="D36" s="182">
        <f t="shared" si="1"/>
        <v>13.3</v>
      </c>
    </row>
    <row r="37" spans="1:4" x14ac:dyDescent="0.2">
      <c r="A37" s="183" t="s">
        <v>835</v>
      </c>
      <c r="B37" s="185" t="s">
        <v>728</v>
      </c>
      <c r="C37" s="179">
        <f>ROUND('DOE25'!F117+'DOE25'!F118,0)</f>
        <v>6308270</v>
      </c>
      <c r="D37" s="182">
        <f t="shared" si="1"/>
        <v>37</v>
      </c>
    </row>
    <row r="38" spans="1:4" x14ac:dyDescent="0.2">
      <c r="A38" s="183" t="s">
        <v>734</v>
      </c>
      <c r="B38" s="185" t="s">
        <v>729</v>
      </c>
      <c r="C38" s="179">
        <f>ROUND(SUM('DOE25'!F140:J140)-SUM('DOE25'!F117:F119),0)</f>
        <v>355958</v>
      </c>
      <c r="D38" s="182">
        <f t="shared" si="1"/>
        <v>2.1</v>
      </c>
    </row>
    <row r="39" spans="1:4" x14ac:dyDescent="0.2">
      <c r="A39">
        <v>4000</v>
      </c>
      <c r="B39" s="185" t="s">
        <v>730</v>
      </c>
      <c r="C39" s="179">
        <f>ROUND('DOE25'!F170+'DOE25'!G170+'DOE25'!H170+'DOE25'!I170,0)</f>
        <v>642631</v>
      </c>
      <c r="D39" s="182">
        <f t="shared" si="1"/>
        <v>3.8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17061130.530000001</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Moultonborough</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2021-11-15T14:53:29Z</cp:lastPrinted>
  <dcterms:created xsi:type="dcterms:W3CDTF">1997-12-04T19:04:30Z</dcterms:created>
  <dcterms:modified xsi:type="dcterms:W3CDTF">2021-12-14T19:12:24Z</dcterms:modified>
</cp:coreProperties>
</file>