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workbookProtection workbookPassword="B50A" lockStructure="1"/>
  <bookViews>
    <workbookView xWindow="0" yWindow="0" windowWidth="28800" windowHeight="12225"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30" i="17" l="1"/>
  <c r="E28" i="17"/>
  <c r="E26" i="17"/>
  <c r="E24" i="17"/>
  <c r="E22" i="17"/>
  <c r="G653" i="1" l="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L246" i="1"/>
  <c r="G5" i="13"/>
  <c r="H5" i="13"/>
  <c r="L198" i="1"/>
  <c r="L199" i="1"/>
  <c r="L200" i="1"/>
  <c r="L201" i="1"/>
  <c r="C13" i="10" s="1"/>
  <c r="L216" i="1"/>
  <c r="L217" i="1"/>
  <c r="L218" i="1"/>
  <c r="L219" i="1"/>
  <c r="L234" i="1"/>
  <c r="L235" i="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D15" i="13" s="1"/>
  <c r="C15" i="13" s="1"/>
  <c r="L227" i="1"/>
  <c r="L245" i="1"/>
  <c r="G17" i="13"/>
  <c r="H17" i="13"/>
  <c r="L252" i="1"/>
  <c r="G18" i="13"/>
  <c r="H18" i="13"/>
  <c r="L253" i="1"/>
  <c r="G19" i="13"/>
  <c r="H19" i="13"/>
  <c r="L254" i="1"/>
  <c r="H29" i="13"/>
  <c r="L359" i="1"/>
  <c r="L360" i="1"/>
  <c r="L361" i="1"/>
  <c r="G662" i="1" s="1"/>
  <c r="I368" i="1"/>
  <c r="J291" i="1"/>
  <c r="J310" i="1"/>
  <c r="J329" i="1"/>
  <c r="K291" i="1"/>
  <c r="K310" i="1"/>
  <c r="K329" i="1"/>
  <c r="L277" i="1"/>
  <c r="L278" i="1"/>
  <c r="L279" i="1"/>
  <c r="L280" i="1"/>
  <c r="L282" i="1"/>
  <c r="L283" i="1"/>
  <c r="L284" i="1"/>
  <c r="E120" i="2" s="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C85" i="2" s="1"/>
  <c r="F170" i="1"/>
  <c r="G147" i="1"/>
  <c r="H147" i="1"/>
  <c r="H170" i="1" s="1"/>
  <c r="I147" i="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E112" i="2"/>
  <c r="D115" i="2"/>
  <c r="F115" i="2"/>
  <c r="G115" i="2"/>
  <c r="C119" i="2"/>
  <c r="E124" i="2"/>
  <c r="C125" i="2"/>
  <c r="E125" i="2"/>
  <c r="F128" i="2"/>
  <c r="G128" i="2"/>
  <c r="D134" i="2"/>
  <c r="D144" i="2" s="1"/>
  <c r="E134" i="2"/>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J258" i="1" s="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G477" i="1" s="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1" i="1"/>
  <c r="G644" i="1"/>
  <c r="G645" i="1"/>
  <c r="G651" i="1"/>
  <c r="G652" i="1"/>
  <c r="J652" i="1" s="1"/>
  <c r="H653" i="1"/>
  <c r="G654" i="1"/>
  <c r="H654" i="1"/>
  <c r="G655" i="1"/>
  <c r="H655" i="1"/>
  <c r="H656" i="1"/>
  <c r="I170" i="1"/>
  <c r="A40" i="12" l="1"/>
  <c r="D18" i="13"/>
  <c r="C18" i="13" s="1"/>
  <c r="D6" i="13"/>
  <c r="C6" i="13" s="1"/>
  <c r="C12" i="10"/>
  <c r="E13" i="13"/>
  <c r="C13" i="13" s="1"/>
  <c r="C112" i="2"/>
  <c r="D50" i="2"/>
  <c r="I409" i="1"/>
  <c r="E119" i="2"/>
  <c r="E110" i="2"/>
  <c r="K339" i="1"/>
  <c r="K353" i="1" s="1"/>
  <c r="G339" i="1"/>
  <c r="G353" i="1" s="1"/>
  <c r="E123" i="2"/>
  <c r="E128" i="2" s="1"/>
  <c r="H409" i="1"/>
  <c r="H645" i="1" s="1"/>
  <c r="J656" i="1"/>
  <c r="G646" i="1"/>
  <c r="J572" i="1"/>
  <c r="H477" i="1"/>
  <c r="H625" i="1" s="1"/>
  <c r="G553" i="1"/>
  <c r="H663" i="1"/>
  <c r="F258" i="1"/>
  <c r="C20" i="10"/>
  <c r="I370" i="1"/>
  <c r="H635" i="1" s="1"/>
  <c r="J635" i="1" s="1"/>
  <c r="L257" i="1"/>
  <c r="H193" i="1"/>
  <c r="C11" i="10"/>
  <c r="A31" i="12"/>
  <c r="E114" i="2"/>
  <c r="E85" i="2"/>
  <c r="E91" i="2" s="1"/>
  <c r="H112" i="1"/>
  <c r="L402" i="1"/>
  <c r="C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C114" i="2"/>
  <c r="G112" i="1"/>
  <c r="B10" i="16" s="1"/>
  <c r="E118" i="2"/>
  <c r="L248" i="1"/>
  <c r="L212" i="1"/>
  <c r="F661" i="1" s="1"/>
  <c r="H648" i="1"/>
  <c r="J64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D5" i="13"/>
  <c r="C5" i="13" s="1"/>
  <c r="E8" i="13"/>
  <c r="C8" i="13" s="1"/>
  <c r="C12" i="13"/>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C141"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J620" i="1"/>
  <c r="D103" i="2"/>
  <c r="I140" i="1"/>
  <c r="A22" i="12"/>
  <c r="J653" i="1"/>
  <c r="G572" i="1"/>
  <c r="I435" i="1"/>
  <c r="G435" i="1"/>
  <c r="I664" i="1"/>
  <c r="C81" i="2" l="1"/>
  <c r="F194" i="1"/>
  <c r="L572" i="1"/>
  <c r="I663" i="1"/>
  <c r="H649" i="1"/>
  <c r="E51" i="2"/>
  <c r="E115" i="2"/>
  <c r="E145" i="2" s="1"/>
  <c r="H661" i="1"/>
  <c r="H665" i="1" s="1"/>
  <c r="H668" i="1" s="1"/>
  <c r="H194" i="1"/>
  <c r="G630" i="1" s="1"/>
  <c r="J630" i="1" s="1"/>
  <c r="F51" i="2"/>
  <c r="G36" i="14"/>
  <c r="H36" i="14" s="1"/>
  <c r="I36" i="14" s="1"/>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I668"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<sst xmlns="http://schemas.openxmlformats.org/spreadsheetml/2006/main" count="5588" uniqueCount="1672">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</sst>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externalLinkPath" Target="file:///C:\Users\matthew.r.welch\Downloads\20211018%20DOE-25%20FY2021%20-%20FINAL.xlsx"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134" activePane="bottomRight" state="frozen"/>
      <selection pane="topRight" activeCell="F1" sqref="F1"/>
      <selection pane="bottomLeft" activeCell="A4" sqref="A4"/>
      <selection pane="bottomRight" activeCell="G162" sqref="G16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1286</v>
      </c>
      <c r="B2" s="21">
        <v>371</v>
      </c>
      <c r="C2" s="21">
        <v>371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c r="G9" s="18"/>
      <c r="H9" s="18"/>
      <c r="I9" s="18"/>
      <c r="J9" s="67">
        <f>SUM(I440)</f>
        <v>2143585.4</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8094530.3099999996</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c r="G12" s="18">
        <v>23099.97</v>
      </c>
      <c r="H12" s="18"/>
      <c r="I12" s="18"/>
      <c r="J12" s="67">
        <f>SUM(I442)</f>
        <v>59966.01</v>
      </c>
      <c r="K12" s="24" t="s">
        <v>288</v>
      </c>
      <c r="L12" s="24" t="s">
        <v>288</v>
      </c>
      <c r="M12" s="8"/>
      <c r="N12" s="264"/>
    </row>
    <row r="13" spans="1:14" s="3" customFormat="1" ht="12.2" customHeight="1" x14ac:dyDescent="0.15">
      <c r="A13" s="1" t="s">
        <v>604</v>
      </c>
      <c r="B13" s="2" t="s">
        <v>289</v>
      </c>
      <c r="C13" s="6">
        <v>5</v>
      </c>
      <c r="D13" s="2" t="s">
        <v>428</v>
      </c>
      <c r="E13" s="6">
        <v>140</v>
      </c>
      <c r="F13" s="18"/>
      <c r="G13" s="18">
        <v>210272.98</v>
      </c>
      <c r="H13" s="18">
        <v>4115152.43</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0</v>
      </c>
      <c r="G19" s="41">
        <f>SUM(G9:G18)</f>
        <v>233372.95</v>
      </c>
      <c r="H19" s="41">
        <f>SUM(H9:H18)</f>
        <v>4115152.43</v>
      </c>
      <c r="I19" s="41">
        <f>SUM(I9:I18)</f>
        <v>0</v>
      </c>
      <c r="J19" s="41">
        <f>SUM(J9:J18)</f>
        <v>10298081.719999999</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c r="H22" s="18">
        <v>1669211.17</v>
      </c>
      <c r="I22" s="18">
        <v>8195488.9100000001</v>
      </c>
      <c r="J22" s="67">
        <f>SUM(I449)</f>
        <v>154716.69</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c r="G24" s="18">
        <v>820.5</v>
      </c>
      <c r="H24" s="18">
        <v>407634.2</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c r="H30" s="18">
        <v>2300</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v>460</v>
      </c>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0</v>
      </c>
      <c r="G32" s="41">
        <f>SUM(G22:G31)</f>
        <v>820.5</v>
      </c>
      <c r="H32" s="41">
        <f>SUM(H22:H31)</f>
        <v>2079605.3699999999</v>
      </c>
      <c r="I32" s="41">
        <f>SUM(I22:I31)</f>
        <v>8195488.9100000001</v>
      </c>
      <c r="J32" s="41">
        <f>SUM(J22:J31)</f>
        <v>154716.69</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7648036.96</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394102.82</v>
      </c>
      <c r="K39" s="24" t="s">
        <v>288</v>
      </c>
      <c r="L39" s="24" t="s">
        <v>288</v>
      </c>
      <c r="M39" s="8"/>
      <c r="N39" s="264"/>
    </row>
    <row r="40" spans="1:14" s="3" customFormat="1" ht="12.2" customHeight="1" x14ac:dyDescent="0.15">
      <c r="A40" s="1" t="s">
        <v>860</v>
      </c>
      <c r="B40" s="6">
        <v>1</v>
      </c>
      <c r="C40" s="6">
        <v>27</v>
      </c>
      <c r="D40" s="2"/>
      <c r="E40" s="6"/>
      <c r="F40" s="24" t="s">
        <v>288</v>
      </c>
      <c r="G40" s="18">
        <v>232422.5</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v>129.94999999999999</v>
      </c>
      <c r="H45" s="18"/>
      <c r="I45" s="18"/>
      <c r="J45" s="13">
        <f>I456</f>
        <v>49070.86</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v>1592741.8</v>
      </c>
      <c r="I48" s="18">
        <v>-27218045.649999999</v>
      </c>
      <c r="J48" s="13">
        <f>SUM(I460)</f>
        <v>2052154.3900000001</v>
      </c>
      <c r="K48" s="24" t="s">
        <v>288</v>
      </c>
      <c r="L48" s="24" t="s">
        <v>288</v>
      </c>
      <c r="M48" s="8"/>
      <c r="N48" s="264"/>
    </row>
    <row r="49" spans="1:14" s="3" customFormat="1" ht="12.2" customHeight="1" x14ac:dyDescent="0.15">
      <c r="A49" s="1" t="s">
        <v>859</v>
      </c>
      <c r="B49" s="2" t="s">
        <v>289</v>
      </c>
      <c r="C49" s="6">
        <v>34</v>
      </c>
      <c r="D49" s="2"/>
      <c r="E49" s="6">
        <v>753</v>
      </c>
      <c r="F49" s="18"/>
      <c r="G49" s="18"/>
      <c r="H49" s="18">
        <v>442805.26</v>
      </c>
      <c r="I49" s="18">
        <v>19022556.739999998</v>
      </c>
      <c r="J49" s="13">
        <f>I455</f>
        <v>0</v>
      </c>
      <c r="K49" s="24"/>
      <c r="L49" s="24"/>
      <c r="M49" s="8"/>
      <c r="N49" s="264"/>
    </row>
    <row r="50" spans="1:14" s="3" customFormat="1" ht="12.2" customHeight="1" thickBot="1" x14ac:dyDescent="0.2">
      <c r="A50" s="29" t="s">
        <v>840</v>
      </c>
      <c r="B50" s="2" t="s">
        <v>289</v>
      </c>
      <c r="C50" s="71">
        <v>35</v>
      </c>
      <c r="D50" s="2" t="s">
        <v>653</v>
      </c>
      <c r="E50" s="6">
        <v>770</v>
      </c>
      <c r="F50" s="18"/>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0</v>
      </c>
      <c r="G51" s="41">
        <f>SUM(G35:G50)</f>
        <v>232552.45</v>
      </c>
      <c r="H51" s="41">
        <f>SUM(H35:H50)</f>
        <v>2035547.06</v>
      </c>
      <c r="I51" s="41">
        <f>SUM(I35:I50)</f>
        <v>-8195488.9100000001</v>
      </c>
      <c r="J51" s="41">
        <f>SUM(J35:J50)</f>
        <v>10143365.030000001</v>
      </c>
      <c r="K51" s="45" t="s">
        <v>288</v>
      </c>
      <c r="L51" s="45" t="s">
        <v>288</v>
      </c>
      <c r="N51" s="262"/>
    </row>
    <row r="52" spans="1:14" s="3" customFormat="1" ht="12.2" customHeight="1" thickTop="1" x14ac:dyDescent="0.15">
      <c r="A52" s="38" t="s">
        <v>455</v>
      </c>
      <c r="B52" s="39" t="s">
        <v>289</v>
      </c>
      <c r="C52" s="6">
        <v>37</v>
      </c>
      <c r="D52" s="39" t="s">
        <v>653</v>
      </c>
      <c r="E52" s="39"/>
      <c r="F52" s="41">
        <f>F51+F32</f>
        <v>0</v>
      </c>
      <c r="G52" s="41">
        <f>G51+G32</f>
        <v>233372.95</v>
      </c>
      <c r="H52" s="41">
        <f>H51+H32</f>
        <v>4115152.4299999997</v>
      </c>
      <c r="I52" s="41">
        <f>I51+I32</f>
        <v>0</v>
      </c>
      <c r="J52" s="41">
        <f>J51+J32</f>
        <v>10298081.720000001</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100164539.56</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100164539.56</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13525.2</v>
      </c>
      <c r="G63" s="24" t="s">
        <v>288</v>
      </c>
      <c r="H63" s="18">
        <v>-8540</v>
      </c>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v>22702.5</v>
      </c>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v>17805</v>
      </c>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v>9053</v>
      </c>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v>162854.01999999999</v>
      </c>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v>61367.29</v>
      </c>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13525.2</v>
      </c>
      <c r="G79" s="45" t="s">
        <v>288</v>
      </c>
      <c r="H79" s="41">
        <f>SUM(H63:H78)</f>
        <v>265241.81</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v>0</v>
      </c>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c r="G96" s="18">
        <v>15.18</v>
      </c>
      <c r="H96" s="18"/>
      <c r="I96" s="18"/>
      <c r="J96" s="18">
        <v>1388280.08</v>
      </c>
      <c r="K96" s="24" t="s">
        <v>288</v>
      </c>
      <c r="L96" s="24" t="s">
        <v>288</v>
      </c>
      <c r="M96" s="8"/>
      <c r="N96" s="264"/>
    </row>
    <row r="97" spans="1:14" s="3" customFormat="1" ht="12.2" customHeight="1" x14ac:dyDescent="0.15">
      <c r="A97" s="1" t="s">
        <v>503</v>
      </c>
      <c r="B97" s="2" t="s">
        <v>315</v>
      </c>
      <c r="C97" s="6">
        <v>12</v>
      </c>
      <c r="D97" s="2" t="s">
        <v>430</v>
      </c>
      <c r="E97" s="6">
        <v>1600</v>
      </c>
      <c r="F97" s="24" t="s">
        <v>288</v>
      </c>
      <c r="G97" s="18">
        <v>8159.25</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v>144095.97</v>
      </c>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v>255</v>
      </c>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v>40156</v>
      </c>
      <c r="H102" s="18"/>
      <c r="I102" s="18"/>
      <c r="J102" s="18">
        <v>238258.5</v>
      </c>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1040.93</v>
      </c>
      <c r="G110" s="18"/>
      <c r="H110" s="18">
        <v>1260.54</v>
      </c>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1040.93</v>
      </c>
      <c r="G111" s="41">
        <f>SUM(G96:G110)</f>
        <v>48330.43</v>
      </c>
      <c r="H111" s="41">
        <f>SUM(H96:H110)</f>
        <v>145611.51</v>
      </c>
      <c r="I111" s="41">
        <f>SUM(I96:I110)</f>
        <v>0</v>
      </c>
      <c r="J111" s="41">
        <f>SUM(J96:J110)</f>
        <v>1626538.58</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100179105.69000001</v>
      </c>
      <c r="G112" s="41">
        <f>G60+G111</f>
        <v>48330.43</v>
      </c>
      <c r="H112" s="41">
        <f>H60+H79+H94+H111</f>
        <v>410853.32</v>
      </c>
      <c r="I112" s="41">
        <f>I60+I111</f>
        <v>0</v>
      </c>
      <c r="J112" s="41">
        <f>J60+J111</f>
        <v>1626538.58</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38825766.560000002</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20650531</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60819.79</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59537117.350000001</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2211431.86</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1616001.17</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231427.23</v>
      </c>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1147.01</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v>145761.4</v>
      </c>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68079.070000000007</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v>193818.72</v>
      </c>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4060007.2699999996</v>
      </c>
      <c r="G136" s="41">
        <f>SUM(G123:G135)</f>
        <v>68079.070000000007</v>
      </c>
      <c r="H136" s="41">
        <f>SUM(H123:H135)</f>
        <v>339580.12</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63597124.620000005</v>
      </c>
      <c r="G140" s="41">
        <f>G121+SUM(G136:G137)</f>
        <v>68079.070000000007</v>
      </c>
      <c r="H140" s="41">
        <f>H121+SUM(H136:H139)</f>
        <v>339580.12</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v>1200000</v>
      </c>
      <c r="H145" s="18">
        <v>60384.7</v>
      </c>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1200000</v>
      </c>
      <c r="H147" s="41">
        <f>SUM(H145:H146)</f>
        <v>60384.7</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4095460.14</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1754433.17</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v>295726.09999999998</v>
      </c>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1589489.22</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4132363.77</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1290798.17</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2185329.02</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2504000.65</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1290798.17</v>
      </c>
      <c r="G163" s="41">
        <f>SUM(G150:G162)</f>
        <v>1589489.22</v>
      </c>
      <c r="H163" s="41">
        <f>SUM(H150:H162)</f>
        <v>14967312.85</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1290798.17</v>
      </c>
      <c r="G170" s="41">
        <f>G147+G163+SUM(G164:G169)</f>
        <v>2789489.2199999997</v>
      </c>
      <c r="H170" s="41">
        <f>H147+H163+SUM(H164:H169)</f>
        <v>15027697.549999999</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v>6400000</v>
      </c>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6400000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v>38509.550000000003</v>
      </c>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38509.550000000003</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v>150000</v>
      </c>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150000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150000</v>
      </c>
      <c r="G193" s="41">
        <f>G184+SUM(G189:G192)</f>
        <v>0</v>
      </c>
      <c r="H193" s="41">
        <f>+H184+SUM(H189:H192)</f>
        <v>0</v>
      </c>
      <c r="I193" s="41">
        <f>I178+I184+SUM(I189:I192)</f>
        <v>6400000</v>
      </c>
      <c r="J193" s="41">
        <f>J184</f>
        <v>38509.550000000003</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165217028.47999999</v>
      </c>
      <c r="G194" s="47">
        <f>G112+G140+G170+G193</f>
        <v>2905898.7199999997</v>
      </c>
      <c r="H194" s="47">
        <f>H112+H140+H170+H193</f>
        <v>15778130.989999998</v>
      </c>
      <c r="I194" s="47">
        <f>I112+I140+I170+I193</f>
        <v>6400000</v>
      </c>
      <c r="J194" s="47">
        <f>J112+J140+J193</f>
        <v>1665048.1300000001</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19234900.35187</v>
      </c>
      <c r="G198" s="18">
        <v>9705206.6636699997</v>
      </c>
      <c r="H198" s="18">
        <v>195145.60345999998</v>
      </c>
      <c r="I198" s="18">
        <v>248018.86000000002</v>
      </c>
      <c r="J198" s="18">
        <v>84951.22</v>
      </c>
      <c r="K198" s="18">
        <v>0</v>
      </c>
      <c r="L198" s="19">
        <f>SUM(F198:K198)</f>
        <v>29468222.698999997</v>
      </c>
      <c r="M198" s="8"/>
      <c r="N198" s="264"/>
    </row>
    <row r="199" spans="1:14" s="3" customFormat="1" ht="12.2" customHeight="1" x14ac:dyDescent="0.15">
      <c r="A199" s="1" t="s">
        <v>439</v>
      </c>
      <c r="B199" s="2" t="s">
        <v>341</v>
      </c>
      <c r="C199" s="2" t="s">
        <v>291</v>
      </c>
      <c r="D199" s="2" t="s">
        <v>431</v>
      </c>
      <c r="E199" s="6">
        <v>1200</v>
      </c>
      <c r="F199" s="18">
        <v>8918560.5106534995</v>
      </c>
      <c r="G199" s="18">
        <v>3639492.9740241007</v>
      </c>
      <c r="H199" s="18">
        <v>3229531.7916274993</v>
      </c>
      <c r="I199" s="18">
        <v>34325.1289091</v>
      </c>
      <c r="J199" s="18">
        <v>269.90852399999994</v>
      </c>
      <c r="K199" s="18">
        <v>0</v>
      </c>
      <c r="L199" s="19">
        <f>SUM(F199:K199)</f>
        <v>15822180.313738197</v>
      </c>
      <c r="M199" s="8"/>
      <c r="N199" s="2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4"/>
    </row>
    <row r="201" spans="1:14" s="3" customFormat="1" ht="12.2" customHeight="1" x14ac:dyDescent="0.15">
      <c r="A201" s="1" t="s">
        <v>441</v>
      </c>
      <c r="B201" s="2" t="s">
        <v>341</v>
      </c>
      <c r="C201" s="2" t="s">
        <v>293</v>
      </c>
      <c r="D201" s="2" t="s">
        <v>431</v>
      </c>
      <c r="E201" s="6">
        <v>1400</v>
      </c>
      <c r="F201" s="18">
        <v>55286.645700000001</v>
      </c>
      <c r="G201" s="18">
        <v>18286.747049999998</v>
      </c>
      <c r="H201" s="18">
        <v>683.82600000000002</v>
      </c>
      <c r="I201" s="18">
        <v>1695.6010499999998</v>
      </c>
      <c r="J201" s="18">
        <v>0</v>
      </c>
      <c r="K201" s="18">
        <v>0</v>
      </c>
      <c r="L201" s="19">
        <f>SUM(F201:K201)</f>
        <v>75952.819799999997</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3562068.3372600004</v>
      </c>
      <c r="G203" s="18">
        <v>1798557.9593299998</v>
      </c>
      <c r="H203" s="18">
        <v>521795.31690000003</v>
      </c>
      <c r="I203" s="18">
        <v>16715.171490000001</v>
      </c>
      <c r="J203" s="18">
        <v>4241.9176800000005</v>
      </c>
      <c r="K203" s="18">
        <v>0</v>
      </c>
      <c r="L203" s="19">
        <f t="shared" ref="L203:L209" si="0">SUM(F203:K203)</f>
        <v>5903378.70266</v>
      </c>
      <c r="M203" s="8"/>
      <c r="N203" s="264"/>
    </row>
    <row r="204" spans="1:14" s="3" customFormat="1" ht="12.2" customHeight="1" x14ac:dyDescent="0.15">
      <c r="A204" s="1" t="s">
        <v>443</v>
      </c>
      <c r="B204" s="2" t="s">
        <v>341</v>
      </c>
      <c r="C204" s="2" t="s">
        <v>295</v>
      </c>
      <c r="D204" s="2" t="s">
        <v>431</v>
      </c>
      <c r="E204" s="6">
        <v>2200</v>
      </c>
      <c r="F204" s="18">
        <v>1407307.84372</v>
      </c>
      <c r="G204" s="18">
        <v>692891.47679999995</v>
      </c>
      <c r="H204" s="18">
        <v>165768.18257999999</v>
      </c>
      <c r="I204" s="18">
        <v>365992.86039999995</v>
      </c>
      <c r="J204" s="18">
        <v>495901.23297000001</v>
      </c>
      <c r="K204" s="18">
        <v>0</v>
      </c>
      <c r="L204" s="19">
        <f t="shared" si="0"/>
        <v>3127861.5964700002</v>
      </c>
      <c r="M204" s="8"/>
      <c r="N204" s="264"/>
    </row>
    <row r="205" spans="1:14" s="3" customFormat="1" ht="12.2" customHeight="1" x14ac:dyDescent="0.15">
      <c r="A205" s="1" t="s">
        <v>444</v>
      </c>
      <c r="B205" s="2" t="s">
        <v>341</v>
      </c>
      <c r="C205" s="2" t="s">
        <v>296</v>
      </c>
      <c r="D205" s="2" t="s">
        <v>431</v>
      </c>
      <c r="E205" s="6">
        <v>2300</v>
      </c>
      <c r="F205" s="18">
        <v>896328.49448999995</v>
      </c>
      <c r="G205" s="18">
        <v>357212.91605999996</v>
      </c>
      <c r="H205" s="18">
        <v>352228.72112999996</v>
      </c>
      <c r="I205" s="18">
        <v>7309.0917900000013</v>
      </c>
      <c r="J205" s="18">
        <v>29471.291849999994</v>
      </c>
      <c r="K205" s="18">
        <v>150323.42754</v>
      </c>
      <c r="L205" s="19">
        <f t="shared" si="0"/>
        <v>1792873.9428599998</v>
      </c>
      <c r="M205" s="8"/>
      <c r="N205" s="264"/>
    </row>
    <row r="206" spans="1:14" s="3" customFormat="1" ht="12.2" customHeight="1" x14ac:dyDescent="0.15">
      <c r="A206" s="1" t="s">
        <v>445</v>
      </c>
      <c r="B206" s="2" t="s">
        <v>341</v>
      </c>
      <c r="C206" s="2" t="s">
        <v>297</v>
      </c>
      <c r="D206" s="2" t="s">
        <v>431</v>
      </c>
      <c r="E206" s="6">
        <v>2400</v>
      </c>
      <c r="F206" s="18">
        <v>3059613.3141299994</v>
      </c>
      <c r="G206" s="18">
        <v>1569788.2250000001</v>
      </c>
      <c r="H206" s="18">
        <v>9378.56</v>
      </c>
      <c r="I206" s="18">
        <v>13877.34</v>
      </c>
      <c r="J206" s="18">
        <v>319.89999999999998</v>
      </c>
      <c r="K206" s="18">
        <v>0</v>
      </c>
      <c r="L206" s="19">
        <f t="shared" si="0"/>
        <v>4652977.3391299993</v>
      </c>
      <c r="M206" s="8"/>
      <c r="N206" s="264"/>
    </row>
    <row r="207" spans="1:14" s="3" customFormat="1" ht="12.2" customHeight="1" x14ac:dyDescent="0.15">
      <c r="A207" s="1" t="s">
        <v>446</v>
      </c>
      <c r="B207" s="2" t="s">
        <v>341</v>
      </c>
      <c r="C207" s="2" t="s">
        <v>298</v>
      </c>
      <c r="D207" s="2" t="s">
        <v>431</v>
      </c>
      <c r="E207" s="6">
        <v>2500</v>
      </c>
      <c r="F207" s="18">
        <v>605376.09990000015</v>
      </c>
      <c r="G207" s="18">
        <v>115913.25174000004</v>
      </c>
      <c r="H207" s="18">
        <v>9525.9449999999997</v>
      </c>
      <c r="I207" s="18">
        <v>0</v>
      </c>
      <c r="J207" s="18">
        <v>0</v>
      </c>
      <c r="K207" s="18">
        <v>-160217.28722999999</v>
      </c>
      <c r="L207" s="19">
        <f t="shared" si="0"/>
        <v>570598.00941000017</v>
      </c>
      <c r="M207" s="8"/>
      <c r="N207" s="264"/>
    </row>
    <row r="208" spans="1:14" s="3" customFormat="1" ht="12.2" customHeight="1" x14ac:dyDescent="0.15">
      <c r="A208" s="1" t="s">
        <v>447</v>
      </c>
      <c r="B208" s="2" t="s">
        <v>341</v>
      </c>
      <c r="C208" s="2" t="s">
        <v>299</v>
      </c>
      <c r="D208" s="2" t="s">
        <v>431</v>
      </c>
      <c r="E208" s="6">
        <v>2600</v>
      </c>
      <c r="F208" s="18">
        <v>2225299.3418000001</v>
      </c>
      <c r="G208" s="18">
        <v>1106909.3630500003</v>
      </c>
      <c r="H208" s="18">
        <v>2399317.9009799999</v>
      </c>
      <c r="I208" s="18">
        <v>327251.20780000003</v>
      </c>
      <c r="J208" s="18">
        <v>35843.43477</v>
      </c>
      <c r="K208" s="18">
        <v>-109.395</v>
      </c>
      <c r="L208" s="19">
        <f t="shared" si="0"/>
        <v>6094511.8534000013</v>
      </c>
      <c r="M208" s="8"/>
      <c r="N208" s="264"/>
    </row>
    <row r="209" spans="1:14" s="3" customFormat="1" ht="12.2" customHeight="1" x14ac:dyDescent="0.15">
      <c r="A209" s="1" t="s">
        <v>448</v>
      </c>
      <c r="B209" s="2" t="s">
        <v>341</v>
      </c>
      <c r="C209" s="2" t="s">
        <v>300</v>
      </c>
      <c r="D209" s="2" t="s">
        <v>431</v>
      </c>
      <c r="E209" s="6">
        <v>2700</v>
      </c>
      <c r="F209" s="18">
        <v>37886.766060000002</v>
      </c>
      <c r="G209" s="18">
        <v>19218.779580000002</v>
      </c>
      <c r="H209" s="18">
        <v>2670995.8575299997</v>
      </c>
      <c r="I209" s="18">
        <v>0</v>
      </c>
      <c r="J209" s="18">
        <v>0</v>
      </c>
      <c r="K209" s="18">
        <v>0</v>
      </c>
      <c r="L209" s="19">
        <f t="shared" si="0"/>
        <v>2728101.4031699998</v>
      </c>
      <c r="M209" s="8"/>
      <c r="N209" s="264"/>
    </row>
    <row r="210" spans="1:14" s="3" customFormat="1" ht="12.2" customHeight="1" x14ac:dyDescent="0.15">
      <c r="A210" s="1" t="s">
        <v>449</v>
      </c>
      <c r="B210" s="2" t="s">
        <v>341</v>
      </c>
      <c r="C210" s="2" t="s">
        <v>343</v>
      </c>
      <c r="D210" s="2" t="s">
        <v>431</v>
      </c>
      <c r="E210" s="6">
        <v>2800</v>
      </c>
      <c r="F210" s="18">
        <v>120281.17958999997</v>
      </c>
      <c r="G210" s="18">
        <v>44425.142190000006</v>
      </c>
      <c r="H210" s="18">
        <v>102666.54684</v>
      </c>
      <c r="I210" s="18">
        <v>0</v>
      </c>
      <c r="J210" s="18">
        <v>0</v>
      </c>
      <c r="K210" s="18">
        <v>0</v>
      </c>
      <c r="L210" s="19">
        <f>SUM(F210:K210)</f>
        <v>267372.86861999996</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40122908.8851735</v>
      </c>
      <c r="G212" s="41">
        <f t="shared" si="1"/>
        <v>19067903.4984941</v>
      </c>
      <c r="H212" s="41">
        <f t="shared" si="1"/>
        <v>9657038.2520474996</v>
      </c>
      <c r="I212" s="41">
        <f t="shared" si="1"/>
        <v>1015185.2614390999</v>
      </c>
      <c r="J212" s="41">
        <f t="shared" si="1"/>
        <v>650998.90579400014</v>
      </c>
      <c r="K212" s="41">
        <f t="shared" si="1"/>
        <v>-10003.254689999983</v>
      </c>
      <c r="L212" s="41">
        <f t="shared" si="1"/>
        <v>70504031.5482582</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9989572.1458700001</v>
      </c>
      <c r="G216" s="18">
        <v>5201252.6076699998</v>
      </c>
      <c r="H216" s="18">
        <v>109624.78546</v>
      </c>
      <c r="I216" s="18">
        <v>86082.29</v>
      </c>
      <c r="J216" s="18">
        <v>124629.12</v>
      </c>
      <c r="K216" s="18">
        <v>0</v>
      </c>
      <c r="L216" s="19">
        <f>SUM(F216:K216)</f>
        <v>15511160.948999999</v>
      </c>
      <c r="M216" s="8"/>
      <c r="N216" s="264"/>
    </row>
    <row r="217" spans="1:14" s="3" customFormat="1" ht="12.2" customHeight="1" x14ac:dyDescent="0.15">
      <c r="A217" s="1" t="s">
        <v>439</v>
      </c>
      <c r="B217" s="2" t="s">
        <v>346</v>
      </c>
      <c r="C217" s="2" t="s">
        <v>291</v>
      </c>
      <c r="D217" s="2" t="s">
        <v>431</v>
      </c>
      <c r="E217" s="6">
        <v>1200</v>
      </c>
      <c r="F217" s="18">
        <v>3257938.8833050001</v>
      </c>
      <c r="G217" s="18">
        <v>1447603.599343</v>
      </c>
      <c r="H217" s="18">
        <v>1627146.1193249999</v>
      </c>
      <c r="I217" s="18">
        <v>21025.792892999998</v>
      </c>
      <c r="J217" s="18">
        <v>135.99251999999998</v>
      </c>
      <c r="K217" s="18">
        <v>0</v>
      </c>
      <c r="L217" s="19">
        <f>SUM(F217:K217)</f>
        <v>6353850.3873859998</v>
      </c>
      <c r="M217" s="8"/>
      <c r="N217" s="264"/>
    </row>
    <row r="218" spans="1:14" s="3" customFormat="1" ht="12.2" customHeight="1" x14ac:dyDescent="0.15">
      <c r="A218" s="1" t="s">
        <v>440</v>
      </c>
      <c r="B218" s="2" t="s">
        <v>346</v>
      </c>
      <c r="C218" s="2" t="s">
        <v>292</v>
      </c>
      <c r="D218" s="2" t="s">
        <v>431</v>
      </c>
      <c r="E218" s="6">
        <v>1300</v>
      </c>
      <c r="F218" s="18">
        <v>720473.98</v>
      </c>
      <c r="G218" s="18">
        <v>357988.65</v>
      </c>
      <c r="H218" s="18">
        <v>1403.1</v>
      </c>
      <c r="I218" s="18">
        <v>18246.77</v>
      </c>
      <c r="J218" s="18">
        <v>12734.99</v>
      </c>
      <c r="K218" s="18">
        <v>0</v>
      </c>
      <c r="L218" s="19">
        <f>SUM(F218:K218)</f>
        <v>1110847.49</v>
      </c>
      <c r="M218" s="8"/>
      <c r="N218" s="264"/>
    </row>
    <row r="219" spans="1:14" s="3" customFormat="1" ht="12.2" customHeight="1" x14ac:dyDescent="0.15">
      <c r="A219" s="1" t="s">
        <v>441</v>
      </c>
      <c r="B219" s="2" t="s">
        <v>346</v>
      </c>
      <c r="C219" s="2" t="s">
        <v>293</v>
      </c>
      <c r="D219" s="2" t="s">
        <v>431</v>
      </c>
      <c r="E219" s="6">
        <v>1400</v>
      </c>
      <c r="F219" s="18">
        <v>104084.28569999999</v>
      </c>
      <c r="G219" s="18">
        <v>11139.687049999999</v>
      </c>
      <c r="H219" s="18">
        <v>26497.266</v>
      </c>
      <c r="I219" s="18">
        <v>905.11104999999998</v>
      </c>
      <c r="J219" s="18">
        <v>6000</v>
      </c>
      <c r="K219" s="18">
        <v>0</v>
      </c>
      <c r="L219" s="19">
        <f>SUM(F219:K219)</f>
        <v>148626.3498</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2217041.4192599999</v>
      </c>
      <c r="G221" s="18">
        <v>1153547.0953299999</v>
      </c>
      <c r="H221" s="18">
        <v>278774.0969</v>
      </c>
      <c r="I221" s="18">
        <v>6014.8094899999996</v>
      </c>
      <c r="J221" s="18">
        <v>2264.3336800000002</v>
      </c>
      <c r="K221" s="18">
        <v>0</v>
      </c>
      <c r="L221" s="19">
        <f t="shared" ref="L221:L227" si="2">SUM(F221:K221)</f>
        <v>3657641.7546600001</v>
      </c>
      <c r="M221" s="8"/>
      <c r="N221" s="264"/>
    </row>
    <row r="222" spans="1:14" s="3" customFormat="1" ht="12.2" customHeight="1" x14ac:dyDescent="0.15">
      <c r="A222" s="1" t="s">
        <v>443</v>
      </c>
      <c r="B222" s="2" t="s">
        <v>346</v>
      </c>
      <c r="C222" s="2" t="s">
        <v>295</v>
      </c>
      <c r="D222" s="2" t="s">
        <v>431</v>
      </c>
      <c r="E222" s="6">
        <v>2200</v>
      </c>
      <c r="F222" s="18">
        <v>441889.34772000008</v>
      </c>
      <c r="G222" s="18">
        <v>232852.05679999999</v>
      </c>
      <c r="H222" s="18">
        <v>88486.978579999981</v>
      </c>
      <c r="I222" s="18">
        <v>189334.10039999997</v>
      </c>
      <c r="J222" s="18">
        <v>264711.84696999996</v>
      </c>
      <c r="K222" s="18">
        <v>0</v>
      </c>
      <c r="L222" s="19">
        <f t="shared" si="2"/>
        <v>1217274.3304699999</v>
      </c>
      <c r="M222" s="8"/>
      <c r="N222" s="264"/>
    </row>
    <row r="223" spans="1:14" s="3" customFormat="1" ht="12.2" customHeight="1" x14ac:dyDescent="0.15">
      <c r="A223" s="1" t="s">
        <v>444</v>
      </c>
      <c r="B223" s="2" t="s">
        <v>346</v>
      </c>
      <c r="C223" s="2" t="s">
        <v>296</v>
      </c>
      <c r="D223" s="2" t="s">
        <v>431</v>
      </c>
      <c r="E223" s="6">
        <v>2300</v>
      </c>
      <c r="F223" s="18">
        <v>478459.73248999997</v>
      </c>
      <c r="G223" s="18">
        <v>190680.08805999998</v>
      </c>
      <c r="H223" s="18">
        <v>188019.52713</v>
      </c>
      <c r="I223" s="18">
        <v>3901.5897899999995</v>
      </c>
      <c r="J223" s="18">
        <v>15731.761849999999</v>
      </c>
      <c r="K223" s="18">
        <v>80242.575540000005</v>
      </c>
      <c r="L223" s="19">
        <f t="shared" si="2"/>
        <v>957035.27485999989</v>
      </c>
      <c r="M223" s="8"/>
      <c r="N223" s="264"/>
    </row>
    <row r="224" spans="1:14" s="3" customFormat="1" ht="12.2" customHeight="1" x14ac:dyDescent="0.15">
      <c r="A224" s="1" t="s">
        <v>445</v>
      </c>
      <c r="B224" s="2" t="s">
        <v>346</v>
      </c>
      <c r="C224" s="2" t="s">
        <v>297</v>
      </c>
      <c r="D224" s="2" t="s">
        <v>431</v>
      </c>
      <c r="E224" s="6">
        <v>2400</v>
      </c>
      <c r="F224" s="18">
        <v>1011935.6301299999</v>
      </c>
      <c r="G224" s="18">
        <v>414535.52500000002</v>
      </c>
      <c r="H224" s="18">
        <v>629.91999999999996</v>
      </c>
      <c r="I224" s="18">
        <v>5189.96</v>
      </c>
      <c r="J224" s="18">
        <v>0</v>
      </c>
      <c r="K224" s="18">
        <v>0</v>
      </c>
      <c r="L224" s="19">
        <f t="shared" si="2"/>
        <v>1432291.0351299997</v>
      </c>
      <c r="M224" s="8"/>
      <c r="N224" s="264"/>
    </row>
    <row r="225" spans="1:14" s="3" customFormat="1" ht="12.2" customHeight="1" x14ac:dyDescent="0.15">
      <c r="A225" s="1" t="s">
        <v>446</v>
      </c>
      <c r="B225" s="2" t="s">
        <v>346</v>
      </c>
      <c r="C225" s="2" t="s">
        <v>298</v>
      </c>
      <c r="D225" s="2" t="s">
        <v>431</v>
      </c>
      <c r="E225" s="6">
        <v>2500</v>
      </c>
      <c r="F225" s="18">
        <v>323149.47990000003</v>
      </c>
      <c r="G225" s="18">
        <v>61874.439740000009</v>
      </c>
      <c r="H225" s="18">
        <v>5084.9449999999997</v>
      </c>
      <c r="I225" s="18">
        <v>0</v>
      </c>
      <c r="J225" s="18">
        <v>0</v>
      </c>
      <c r="K225" s="18">
        <v>-85523.913229999991</v>
      </c>
      <c r="L225" s="19">
        <f t="shared" si="2"/>
        <v>304584.95141000004</v>
      </c>
      <c r="M225" s="8"/>
      <c r="N225" s="264"/>
    </row>
    <row r="226" spans="1:14" s="3" customFormat="1" ht="12.2" customHeight="1" x14ac:dyDescent="0.15">
      <c r="A226" s="1" t="s">
        <v>447</v>
      </c>
      <c r="B226" s="2" t="s">
        <v>346</v>
      </c>
      <c r="C226" s="2" t="s">
        <v>299</v>
      </c>
      <c r="D226" s="2" t="s">
        <v>431</v>
      </c>
      <c r="E226" s="6">
        <v>2600</v>
      </c>
      <c r="F226" s="18">
        <v>1220543.7418</v>
      </c>
      <c r="G226" s="18">
        <v>587673.59305000002</v>
      </c>
      <c r="H226" s="18">
        <v>1280754.7769800001</v>
      </c>
      <c r="I226" s="18">
        <v>174410.56780000002</v>
      </c>
      <c r="J226" s="18">
        <v>19133.208769999997</v>
      </c>
      <c r="K226" s="18">
        <v>-58.394999999999996</v>
      </c>
      <c r="L226" s="19">
        <f t="shared" si="2"/>
        <v>3282457.4933999996</v>
      </c>
      <c r="M226" s="8"/>
      <c r="N226" s="264"/>
    </row>
    <row r="227" spans="1:14" s="3" customFormat="1" ht="12.2" customHeight="1" x14ac:dyDescent="0.15">
      <c r="A227" s="1" t="s">
        <v>448</v>
      </c>
      <c r="B227" s="2" t="s">
        <v>346</v>
      </c>
      <c r="C227" s="2" t="s">
        <v>300</v>
      </c>
      <c r="D227" s="2" t="s">
        <v>431</v>
      </c>
      <c r="E227" s="6">
        <v>2700</v>
      </c>
      <c r="F227" s="18">
        <v>20223.93806</v>
      </c>
      <c r="G227" s="18">
        <v>10258.975580000002</v>
      </c>
      <c r="H227" s="18">
        <v>1425776.34353</v>
      </c>
      <c r="I227" s="18">
        <v>0</v>
      </c>
      <c r="J227" s="18">
        <v>0</v>
      </c>
      <c r="K227" s="18">
        <v>0</v>
      </c>
      <c r="L227" s="19">
        <f t="shared" si="2"/>
        <v>1456259.2571699999</v>
      </c>
      <c r="M227" s="8"/>
      <c r="N227" s="264"/>
    </row>
    <row r="228" spans="1:14" s="3" customFormat="1" ht="12.2" customHeight="1" x14ac:dyDescent="0.15">
      <c r="A228" s="1" t="s">
        <v>449</v>
      </c>
      <c r="B228" s="2" t="s">
        <v>346</v>
      </c>
      <c r="C228" s="2" t="s">
        <v>343</v>
      </c>
      <c r="D228" s="2" t="s">
        <v>431</v>
      </c>
      <c r="E228" s="6">
        <v>2800</v>
      </c>
      <c r="F228" s="18">
        <v>64206.037589999993</v>
      </c>
      <c r="G228" s="18">
        <v>23714.120190000001</v>
      </c>
      <c r="H228" s="18">
        <v>54803.35484</v>
      </c>
      <c r="I228" s="18">
        <v>0</v>
      </c>
      <c r="J228" s="18">
        <v>0</v>
      </c>
      <c r="K228" s="18">
        <v>0</v>
      </c>
      <c r="L228" s="19">
        <f>SUM(F228:K228)</f>
        <v>142723.51261999999</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19849518.621825002</v>
      </c>
      <c r="G230" s="41">
        <f>SUM(G216:G229)</f>
        <v>9693120.4378130008</v>
      </c>
      <c r="H230" s="41">
        <f>SUM(H216:H229)</f>
        <v>5087001.2137449998</v>
      </c>
      <c r="I230" s="41">
        <f>SUM(I216:I229)</f>
        <v>505110.991423</v>
      </c>
      <c r="J230" s="41">
        <f>SUM(J216:J229)</f>
        <v>445341.25378999999</v>
      </c>
      <c r="K230" s="41">
        <f t="shared" si="3"/>
        <v>-5339.7326899999862</v>
      </c>
      <c r="L230" s="41">
        <f t="shared" si="3"/>
        <v>35574752.785905994</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11730527.882259998</v>
      </c>
      <c r="G234" s="18">
        <v>6041203.3386599999</v>
      </c>
      <c r="H234" s="18">
        <v>246585.95108</v>
      </c>
      <c r="I234" s="18">
        <v>145239.6</v>
      </c>
      <c r="J234" s="18">
        <v>303641.96999999997</v>
      </c>
      <c r="K234" s="18">
        <v>0</v>
      </c>
      <c r="L234" s="19">
        <f>SUM(F234:K234)</f>
        <v>18467198.741999995</v>
      </c>
      <c r="M234" s="8"/>
      <c r="N234" s="264"/>
    </row>
    <row r="235" spans="1:14" s="3" customFormat="1" ht="12.2" customHeight="1" x14ac:dyDescent="0.15">
      <c r="A235" s="1" t="s">
        <v>439</v>
      </c>
      <c r="B235" s="2" t="s">
        <v>350</v>
      </c>
      <c r="C235" s="2" t="s">
        <v>291</v>
      </c>
      <c r="D235" s="2" t="s">
        <v>431</v>
      </c>
      <c r="E235" s="6">
        <v>1200</v>
      </c>
      <c r="F235" s="18">
        <v>3164866.9560415</v>
      </c>
      <c r="G235" s="18">
        <v>1474853.9166329</v>
      </c>
      <c r="H235" s="18">
        <v>1733711.3390474999</v>
      </c>
      <c r="I235" s="18">
        <v>14522.868197899999</v>
      </c>
      <c r="J235" s="18">
        <v>144.898956</v>
      </c>
      <c r="K235" s="18">
        <v>0</v>
      </c>
      <c r="L235" s="19">
        <f>SUM(F235:K235)</f>
        <v>6388099.9788758</v>
      </c>
      <c r="M235" s="8"/>
      <c r="N235" s="264"/>
    </row>
    <row r="236" spans="1:14" s="3" customFormat="1" ht="12.2" customHeight="1" x14ac:dyDescent="0.15">
      <c r="A236" s="1" t="s">
        <v>440</v>
      </c>
      <c r="B236" s="2" t="s">
        <v>350</v>
      </c>
      <c r="C236" s="2" t="s">
        <v>292</v>
      </c>
      <c r="D236" s="2" t="s">
        <v>431</v>
      </c>
      <c r="E236" s="6">
        <v>1300</v>
      </c>
      <c r="F236" s="18">
        <v>2719361.64</v>
      </c>
      <c r="G236" s="18">
        <v>1366596.04</v>
      </c>
      <c r="H236" s="18">
        <v>12690.35</v>
      </c>
      <c r="I236" s="18">
        <v>107425.36000000002</v>
      </c>
      <c r="J236" s="18">
        <v>26325.75</v>
      </c>
      <c r="K236" s="18">
        <v>0</v>
      </c>
      <c r="L236" s="19">
        <f>SUM(F236:K236)</f>
        <v>4232399.1400000006</v>
      </c>
      <c r="M236" s="8"/>
      <c r="N236" s="264"/>
    </row>
    <row r="237" spans="1:14" s="3" customFormat="1" ht="12.2" customHeight="1" x14ac:dyDescent="0.15">
      <c r="A237" s="1" t="s">
        <v>441</v>
      </c>
      <c r="B237" s="2" t="s">
        <v>350</v>
      </c>
      <c r="C237" s="2" t="s">
        <v>293</v>
      </c>
      <c r="D237" s="2" t="s">
        <v>431</v>
      </c>
      <c r="E237" s="6">
        <v>1400</v>
      </c>
      <c r="F237" s="18">
        <v>428493.59860000003</v>
      </c>
      <c r="G237" s="18">
        <v>30305.205899999994</v>
      </c>
      <c r="H237" s="18">
        <v>238548.32799999998</v>
      </c>
      <c r="I237" s="18">
        <v>13280.3279</v>
      </c>
      <c r="J237" s="18">
        <v>70038.26999999999</v>
      </c>
      <c r="K237" s="18">
        <v>-117274.37</v>
      </c>
      <c r="L237" s="19">
        <f>SUM(F237:K237)</f>
        <v>663391.36040000012</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3640211.02348</v>
      </c>
      <c r="G239" s="18">
        <v>1758456.4753399999</v>
      </c>
      <c r="H239" s="18">
        <v>416456.6862</v>
      </c>
      <c r="I239" s="18">
        <v>8607.7590199999995</v>
      </c>
      <c r="J239" s="18">
        <v>3865.6486399999999</v>
      </c>
      <c r="K239" s="18">
        <v>0</v>
      </c>
      <c r="L239" s="19">
        <f t="shared" ref="L239:L245" si="4">SUM(F239:K239)</f>
        <v>5827597.5926799998</v>
      </c>
      <c r="M239" s="8"/>
      <c r="N239" s="264"/>
    </row>
    <row r="240" spans="1:14" s="3" customFormat="1" ht="12.2" customHeight="1" x14ac:dyDescent="0.15">
      <c r="A240" s="1" t="s">
        <v>443</v>
      </c>
      <c r="B240" s="2" t="s">
        <v>350</v>
      </c>
      <c r="C240" s="2" t="s">
        <v>295</v>
      </c>
      <c r="D240" s="2" t="s">
        <v>431</v>
      </c>
      <c r="E240" s="6">
        <v>2200</v>
      </c>
      <c r="F240" s="18">
        <v>733970.18856000016</v>
      </c>
      <c r="G240" s="18">
        <v>314238.23639999999</v>
      </c>
      <c r="H240" s="18">
        <v>132150.85884</v>
      </c>
      <c r="I240" s="18">
        <v>293375.29919999995</v>
      </c>
      <c r="J240" s="18">
        <v>395333.85005999997</v>
      </c>
      <c r="K240" s="18">
        <v>0</v>
      </c>
      <c r="L240" s="19">
        <f t="shared" si="4"/>
        <v>1869068.4330600002</v>
      </c>
      <c r="M240" s="8"/>
      <c r="N240" s="264"/>
    </row>
    <row r="241" spans="1:14" s="3" customFormat="1" ht="12.2" customHeight="1" x14ac:dyDescent="0.15">
      <c r="A241" s="1" t="s">
        <v>444</v>
      </c>
      <c r="B241" s="2" t="s">
        <v>350</v>
      </c>
      <c r="C241" s="2" t="s">
        <v>296</v>
      </c>
      <c r="D241" s="2" t="s">
        <v>431</v>
      </c>
      <c r="E241" s="6">
        <v>2300</v>
      </c>
      <c r="F241" s="18">
        <v>714555.58302000002</v>
      </c>
      <c r="G241" s="18">
        <v>284771.13588000002</v>
      </c>
      <c r="H241" s="18">
        <v>280797.72173999995</v>
      </c>
      <c r="I241" s="18">
        <v>5826.8284199999998</v>
      </c>
      <c r="J241" s="18">
        <v>23494.596299999997</v>
      </c>
      <c r="K241" s="18">
        <v>119838.25692000001</v>
      </c>
      <c r="L241" s="19">
        <f t="shared" si="4"/>
        <v>1429284.12228</v>
      </c>
      <c r="M241" s="8"/>
      <c r="N241" s="264"/>
    </row>
    <row r="242" spans="1:14" s="3" customFormat="1" ht="12.2" customHeight="1" x14ac:dyDescent="0.15">
      <c r="A242" s="1" t="s">
        <v>445</v>
      </c>
      <c r="B242" s="2" t="s">
        <v>350</v>
      </c>
      <c r="C242" s="2" t="s">
        <v>297</v>
      </c>
      <c r="D242" s="2" t="s">
        <v>431</v>
      </c>
      <c r="E242" s="6">
        <v>2400</v>
      </c>
      <c r="F242" s="18">
        <v>1284283.9457399999</v>
      </c>
      <c r="G242" s="18">
        <v>582128.64999999991</v>
      </c>
      <c r="H242" s="18">
        <v>3004.16</v>
      </c>
      <c r="I242" s="18">
        <v>0</v>
      </c>
      <c r="J242" s="18">
        <v>0</v>
      </c>
      <c r="K242" s="18">
        <v>0</v>
      </c>
      <c r="L242" s="19">
        <f t="shared" si="4"/>
        <v>1869416.7557399997</v>
      </c>
      <c r="M242" s="8"/>
      <c r="N242" s="264"/>
    </row>
    <row r="243" spans="1:14" s="3" customFormat="1" ht="12.2" customHeight="1" x14ac:dyDescent="0.15">
      <c r="A243" s="1" t="s">
        <v>446</v>
      </c>
      <c r="B243" s="2" t="s">
        <v>350</v>
      </c>
      <c r="C243" s="2" t="s">
        <v>298</v>
      </c>
      <c r="D243" s="2" t="s">
        <v>431</v>
      </c>
      <c r="E243" s="6">
        <v>2500</v>
      </c>
      <c r="F243" s="18">
        <v>482607.52020000003</v>
      </c>
      <c r="G243" s="18">
        <v>92406.368520000018</v>
      </c>
      <c r="H243" s="18">
        <v>7594.1100000000006</v>
      </c>
      <c r="I243" s="18">
        <v>0</v>
      </c>
      <c r="J243" s="18">
        <v>0</v>
      </c>
      <c r="K243" s="18">
        <v>-127725.66954</v>
      </c>
      <c r="L243" s="19">
        <f t="shared" si="4"/>
        <v>454882.32918</v>
      </c>
      <c r="M243" s="8"/>
      <c r="N243" s="264"/>
    </row>
    <row r="244" spans="1:14" s="3" customFormat="1" ht="12.2" customHeight="1" x14ac:dyDescent="0.15">
      <c r="A244" s="1" t="s">
        <v>447</v>
      </c>
      <c r="B244" s="2" t="s">
        <v>350</v>
      </c>
      <c r="C244" s="2" t="s">
        <v>299</v>
      </c>
      <c r="D244" s="2" t="s">
        <v>431</v>
      </c>
      <c r="E244" s="6">
        <v>2600</v>
      </c>
      <c r="F244" s="18">
        <v>2195188.6164000002</v>
      </c>
      <c r="G244" s="18">
        <v>1120953.9239000003</v>
      </c>
      <c r="H244" s="18">
        <v>2088705.2620399999</v>
      </c>
      <c r="I244" s="18">
        <v>260473.42440000002</v>
      </c>
      <c r="J244" s="18">
        <v>28574.486459999996</v>
      </c>
      <c r="K244" s="18">
        <v>-87.210000000000008</v>
      </c>
      <c r="L244" s="19">
        <f t="shared" si="4"/>
        <v>5693808.5032000011</v>
      </c>
      <c r="M244" s="8"/>
      <c r="N244" s="264"/>
    </row>
    <row r="245" spans="1:14" s="3" customFormat="1" ht="12.2" customHeight="1" x14ac:dyDescent="0.15">
      <c r="A245" s="1" t="s">
        <v>448</v>
      </c>
      <c r="B245" s="2" t="s">
        <v>350</v>
      </c>
      <c r="C245" s="2" t="s">
        <v>300</v>
      </c>
      <c r="D245" s="2" t="s">
        <v>431</v>
      </c>
      <c r="E245" s="6">
        <v>2700</v>
      </c>
      <c r="F245" s="18">
        <v>30203.435879999997</v>
      </c>
      <c r="G245" s="18">
        <v>15321.264840000002</v>
      </c>
      <c r="H245" s="18">
        <v>2129325.36894</v>
      </c>
      <c r="I245" s="18">
        <v>0</v>
      </c>
      <c r="J245" s="18">
        <v>0</v>
      </c>
      <c r="K245" s="18">
        <v>0</v>
      </c>
      <c r="L245" s="19">
        <f t="shared" si="4"/>
        <v>2174850.06966</v>
      </c>
      <c r="M245" s="8"/>
      <c r="N245" s="264"/>
    </row>
    <row r="246" spans="1:14" s="3" customFormat="1" ht="12.2" customHeight="1" x14ac:dyDescent="0.15">
      <c r="A246" s="1" t="s">
        <v>449</v>
      </c>
      <c r="B246" s="2" t="s">
        <v>350</v>
      </c>
      <c r="C246" s="2" t="s">
        <v>343</v>
      </c>
      <c r="D246" s="2" t="s">
        <v>431</v>
      </c>
      <c r="E246" s="6">
        <v>2800</v>
      </c>
      <c r="F246" s="18">
        <v>95888.492819999985</v>
      </c>
      <c r="G246" s="18">
        <v>35415.84762</v>
      </c>
      <c r="H246" s="18">
        <v>81846.058319999996</v>
      </c>
      <c r="I246" s="18">
        <v>0</v>
      </c>
      <c r="J246" s="18">
        <v>0</v>
      </c>
      <c r="K246" s="18">
        <v>0</v>
      </c>
      <c r="L246" s="19">
        <f>SUM(F246:K246)</f>
        <v>213150.39876000001</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27220158.883001503</v>
      </c>
      <c r="G248" s="41">
        <f t="shared" si="5"/>
        <v>13116650.403692901</v>
      </c>
      <c r="H248" s="41">
        <f t="shared" si="5"/>
        <v>7371416.1942074997</v>
      </c>
      <c r="I248" s="41">
        <f t="shared" si="5"/>
        <v>848751.46713789995</v>
      </c>
      <c r="J248" s="41">
        <f t="shared" si="5"/>
        <v>851419.470416</v>
      </c>
      <c r="K248" s="41">
        <f t="shared" si="5"/>
        <v>-125248.99261999999</v>
      </c>
      <c r="L248" s="41">
        <f t="shared" si="5"/>
        <v>49283147.425835803</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v>121703.93</v>
      </c>
      <c r="G252" s="18">
        <v>43857.07</v>
      </c>
      <c r="H252" s="18">
        <v>0</v>
      </c>
      <c r="I252" s="18">
        <v>0</v>
      </c>
      <c r="J252" s="18">
        <v>0</v>
      </c>
      <c r="K252" s="18">
        <v>0</v>
      </c>
      <c r="L252" s="19">
        <f t="shared" si="6"/>
        <v>165561</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v>251365.17</v>
      </c>
      <c r="L256" s="19">
        <f t="shared" si="6"/>
        <v>251365.17</v>
      </c>
      <c r="M256" s="8"/>
      <c r="N256" s="264"/>
    </row>
    <row r="257" spans="1:14" s="3" customFormat="1" ht="12.2" customHeight="1" thickTop="1" thickBot="1" x14ac:dyDescent="0.2">
      <c r="A257" s="38" t="s">
        <v>461</v>
      </c>
      <c r="B257" s="40">
        <v>10</v>
      </c>
      <c r="C257" s="40">
        <v>7</v>
      </c>
      <c r="D257" s="39" t="s">
        <v>431</v>
      </c>
      <c r="E257" s="40"/>
      <c r="F257" s="41">
        <f t="shared" ref="F257:K257" si="7">SUM(F251:F256)</f>
        <v>121703.93</v>
      </c>
      <c r="G257" s="41">
        <f t="shared" si="7"/>
        <v>43857.07</v>
      </c>
      <c r="H257" s="41">
        <f t="shared" si="7"/>
        <v>0</v>
      </c>
      <c r="I257" s="41">
        <f t="shared" si="7"/>
        <v>0</v>
      </c>
      <c r="J257" s="41">
        <f t="shared" si="7"/>
        <v>0</v>
      </c>
      <c r="K257" s="41">
        <f t="shared" si="7"/>
        <v>251365.17</v>
      </c>
      <c r="L257" s="41">
        <f>SUM(F257:K257)</f>
        <v>416926.17000000004</v>
      </c>
      <c r="M257" s="8"/>
      <c r="N257" s="264"/>
    </row>
    <row r="258" spans="1:14" s="3" customFormat="1" ht="12.2" customHeight="1" thickTop="1" x14ac:dyDescent="0.15">
      <c r="A258" s="38" t="s">
        <v>462</v>
      </c>
      <c r="B258" s="40">
        <v>10</v>
      </c>
      <c r="C258" s="40">
        <v>8</v>
      </c>
      <c r="D258" s="39" t="s">
        <v>431</v>
      </c>
      <c r="E258" s="40"/>
      <c r="F258" s="41">
        <f t="shared" ref="F258:L258" si="8">F212+F230+F248+F257</f>
        <v>87314290.320000008</v>
      </c>
      <c r="G258" s="41">
        <f t="shared" si="8"/>
        <v>41921531.410000004</v>
      </c>
      <c r="H258" s="41">
        <f t="shared" si="8"/>
        <v>22115455.66</v>
      </c>
      <c r="I258" s="41">
        <f t="shared" si="8"/>
        <v>2369047.7199999997</v>
      </c>
      <c r="J258" s="41">
        <f t="shared" si="8"/>
        <v>1947759.6300000004</v>
      </c>
      <c r="K258" s="41">
        <f t="shared" si="8"/>
        <v>110773.19000000006</v>
      </c>
      <c r="L258" s="41">
        <f t="shared" si="8"/>
        <v>155778857.92999998</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7829000</v>
      </c>
      <c r="L261" s="19">
        <f>SUM(F261:K261)</f>
        <v>7829000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1570661</v>
      </c>
      <c r="L262" s="19">
        <f>SUM(F262:K262)</f>
        <v>1570661</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38509.550000000003</v>
      </c>
      <c r="L267" s="19">
        <f t="shared" si="9"/>
        <v>38509.550000000003</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9438170.5500000007</v>
      </c>
      <c r="L271" s="41">
        <f t="shared" si="9"/>
        <v>9438170.5500000007</v>
      </c>
      <c r="M271" s="8"/>
      <c r="N271" s="264"/>
    </row>
    <row r="272" spans="1:14" s="34" customFormat="1" ht="12.2" customHeight="1" thickTop="1" x14ac:dyDescent="0.2">
      <c r="A272" s="43" t="s">
        <v>464</v>
      </c>
      <c r="B272" s="40">
        <v>10</v>
      </c>
      <c r="C272" s="40">
        <v>18</v>
      </c>
      <c r="D272" s="39" t="s">
        <v>431</v>
      </c>
      <c r="E272" s="40"/>
      <c r="F272" s="42">
        <f t="shared" ref="F272:L272" si="11">F258+F271</f>
        <v>87314290.320000008</v>
      </c>
      <c r="G272" s="42">
        <f t="shared" si="11"/>
        <v>41921531.410000004</v>
      </c>
      <c r="H272" s="42">
        <f t="shared" si="11"/>
        <v>22115455.66</v>
      </c>
      <c r="I272" s="42">
        <f t="shared" si="11"/>
        <v>2369047.7199999997</v>
      </c>
      <c r="J272" s="42">
        <f t="shared" si="11"/>
        <v>1947759.6300000004</v>
      </c>
      <c r="K272" s="42">
        <f t="shared" si="11"/>
        <v>9548943.7400000002</v>
      </c>
      <c r="L272" s="42">
        <f t="shared" si="11"/>
        <v>165217028.47999999</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1229076.0324999997</v>
      </c>
      <c r="G277" s="18">
        <v>188323.33863000001</v>
      </c>
      <c r="H277" s="18">
        <v>42104.851419999992</v>
      </c>
      <c r="I277" s="18">
        <v>268095.11540000001</v>
      </c>
      <c r="J277" s="18">
        <v>1198091.5394099997</v>
      </c>
      <c r="K277" s="18">
        <v>0</v>
      </c>
      <c r="L277" s="19">
        <f>SUM(F277:K277)</f>
        <v>2925690.8773599993</v>
      </c>
      <c r="M277" s="8"/>
      <c r="N277" s="264"/>
    </row>
    <row r="278" spans="1:14" s="3" customFormat="1" ht="12.2" customHeight="1" x14ac:dyDescent="0.15">
      <c r="A278" s="1" t="s">
        <v>439</v>
      </c>
      <c r="B278" s="2" t="s">
        <v>357</v>
      </c>
      <c r="C278" s="2" t="s">
        <v>291</v>
      </c>
      <c r="D278" s="2" t="s">
        <v>431</v>
      </c>
      <c r="E278" s="6">
        <v>1200</v>
      </c>
      <c r="F278" s="18">
        <v>1239217.0309595999</v>
      </c>
      <c r="G278" s="18">
        <v>596638.25923519989</v>
      </c>
      <c r="H278" s="18">
        <v>377312.17791060009</v>
      </c>
      <c r="I278" s="18">
        <v>136727.1057665</v>
      </c>
      <c r="J278" s="18">
        <v>98656.075414499996</v>
      </c>
      <c r="K278" s="18">
        <v>15168.878650000001</v>
      </c>
      <c r="L278" s="19">
        <f>SUM(F278:K278)</f>
        <v>2463719.5279363999</v>
      </c>
      <c r="M278" s="8"/>
      <c r="N278" s="2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4"/>
    </row>
    <row r="280" spans="1:14" s="3" customFormat="1" ht="12.2" customHeight="1" x14ac:dyDescent="0.15">
      <c r="A280" s="1" t="s">
        <v>441</v>
      </c>
      <c r="B280" s="2" t="s">
        <v>357</v>
      </c>
      <c r="C280" s="2" t="s">
        <v>293</v>
      </c>
      <c r="D280" s="2" t="s">
        <v>431</v>
      </c>
      <c r="E280" s="6">
        <v>1400</v>
      </c>
      <c r="F280" s="18">
        <v>336666.61</v>
      </c>
      <c r="G280" s="18">
        <v>106127.09</v>
      </c>
      <c r="H280" s="18">
        <v>135528.57999999999</v>
      </c>
      <c r="I280" s="18">
        <v>143606.31999999998</v>
      </c>
      <c r="J280" s="18">
        <v>45525.67</v>
      </c>
      <c r="K280" s="18">
        <v>0</v>
      </c>
      <c r="L280" s="19">
        <f>SUM(F280:K280)</f>
        <v>767454.2699999999</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294442.40547930001</v>
      </c>
      <c r="G282" s="18">
        <v>130625.89839679998</v>
      </c>
      <c r="H282" s="18">
        <v>573782.11516659998</v>
      </c>
      <c r="I282" s="18">
        <v>262072.81199190003</v>
      </c>
      <c r="J282" s="18">
        <v>23294.188587500001</v>
      </c>
      <c r="K282" s="18">
        <v>0</v>
      </c>
      <c r="L282" s="19">
        <f t="shared" ref="L282:L288" si="12">SUM(F282:K282)</f>
        <v>1284217.4196221</v>
      </c>
      <c r="M282" s="8"/>
      <c r="N282" s="264"/>
    </row>
    <row r="283" spans="1:14" s="3" customFormat="1" ht="12.2" customHeight="1" x14ac:dyDescent="0.15">
      <c r="A283" s="1" t="s">
        <v>443</v>
      </c>
      <c r="B283" s="2" t="s">
        <v>357</v>
      </c>
      <c r="C283" s="2" t="s">
        <v>295</v>
      </c>
      <c r="D283" s="2" t="s">
        <v>431</v>
      </c>
      <c r="E283" s="6">
        <v>2200</v>
      </c>
      <c r="F283" s="18">
        <v>391475.24168000004</v>
      </c>
      <c r="G283" s="18">
        <v>204186.04621</v>
      </c>
      <c r="H283" s="18">
        <v>106599.92252000002</v>
      </c>
      <c r="I283" s="18">
        <v>13940.0183</v>
      </c>
      <c r="J283" s="18">
        <v>181671.13682000001</v>
      </c>
      <c r="K283" s="18">
        <v>0</v>
      </c>
      <c r="L283" s="19">
        <f t="shared" si="12"/>
        <v>897872.36553000007</v>
      </c>
      <c r="M283" s="8"/>
      <c r="N283" s="264"/>
    </row>
    <row r="284" spans="1:14" s="3" customFormat="1" ht="12.2" customHeight="1" x14ac:dyDescent="0.15">
      <c r="A284" s="1" t="s">
        <v>444</v>
      </c>
      <c r="B284" s="2" t="s">
        <v>357</v>
      </c>
      <c r="C284" s="2" t="s">
        <v>296</v>
      </c>
      <c r="D284" s="2" t="s">
        <v>431</v>
      </c>
      <c r="E284" s="6">
        <v>2300</v>
      </c>
      <c r="F284" s="18">
        <v>0</v>
      </c>
      <c r="G284" s="18">
        <v>0</v>
      </c>
      <c r="H284" s="18">
        <v>4853.7060000000001</v>
      </c>
      <c r="I284" s="18">
        <v>0</v>
      </c>
      <c r="J284" s="18">
        <v>0</v>
      </c>
      <c r="K284" s="18">
        <v>0</v>
      </c>
      <c r="L284" s="19">
        <f t="shared" si="12"/>
        <v>4853.7060000000001</v>
      </c>
      <c r="M284" s="8"/>
      <c r="N284" s="264"/>
    </row>
    <row r="285" spans="1:14" s="3" customFormat="1" ht="12.2" customHeight="1" x14ac:dyDescent="0.15">
      <c r="A285" s="1" t="s">
        <v>445</v>
      </c>
      <c r="B285" s="2" t="s">
        <v>357</v>
      </c>
      <c r="C285" s="2" t="s">
        <v>297</v>
      </c>
      <c r="D285" s="2" t="s">
        <v>431</v>
      </c>
      <c r="E285" s="6">
        <v>2400</v>
      </c>
      <c r="F285" s="18">
        <v>70053.040000000008</v>
      </c>
      <c r="G285" s="18">
        <v>35211.409999999996</v>
      </c>
      <c r="H285" s="18">
        <v>4385</v>
      </c>
      <c r="I285" s="18">
        <v>0</v>
      </c>
      <c r="J285" s="18">
        <v>0</v>
      </c>
      <c r="K285" s="18">
        <v>0</v>
      </c>
      <c r="L285" s="19">
        <f t="shared" si="12"/>
        <v>109649.45000000001</v>
      </c>
      <c r="M285" s="8"/>
      <c r="N285" s="2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160217.29152</v>
      </c>
      <c r="L286" s="19">
        <f t="shared" si="12"/>
        <v>160217.29152</v>
      </c>
      <c r="M286" s="8"/>
      <c r="N286" s="264"/>
    </row>
    <row r="287" spans="1:14" s="3" customFormat="1" ht="12.2" customHeight="1" x14ac:dyDescent="0.15">
      <c r="A287" s="1" t="s">
        <v>447</v>
      </c>
      <c r="B287" s="2" t="s">
        <v>357</v>
      </c>
      <c r="C287" s="2" t="s">
        <v>299</v>
      </c>
      <c r="D287" s="2" t="s">
        <v>431</v>
      </c>
      <c r="E287" s="6">
        <v>2600</v>
      </c>
      <c r="F287" s="18">
        <v>71.106750000000005</v>
      </c>
      <c r="G287" s="18">
        <v>0</v>
      </c>
      <c r="H287" s="18">
        <v>272.15759999999977</v>
      </c>
      <c r="I287" s="18">
        <v>41678.714220000002</v>
      </c>
      <c r="J287" s="18">
        <v>233865.48345</v>
      </c>
      <c r="K287" s="18">
        <v>30588.244400000003</v>
      </c>
      <c r="L287" s="19">
        <f t="shared" si="12"/>
        <v>306475.70642</v>
      </c>
      <c r="M287" s="8"/>
      <c r="N287" s="264"/>
    </row>
    <row r="288" spans="1:14" s="3" customFormat="1" ht="12.2" customHeight="1" x14ac:dyDescent="0.15">
      <c r="A288" s="1" t="s">
        <v>448</v>
      </c>
      <c r="B288" s="2" t="s">
        <v>357</v>
      </c>
      <c r="C288" s="2" t="s">
        <v>300</v>
      </c>
      <c r="D288" s="2" t="s">
        <v>431</v>
      </c>
      <c r="E288" s="6">
        <v>2700</v>
      </c>
      <c r="F288" s="18">
        <v>0</v>
      </c>
      <c r="G288" s="18">
        <v>0</v>
      </c>
      <c r="H288" s="18">
        <v>32897.835729899998</v>
      </c>
      <c r="I288" s="18">
        <v>0</v>
      </c>
      <c r="J288" s="18">
        <v>0</v>
      </c>
      <c r="K288" s="18">
        <v>0</v>
      </c>
      <c r="L288" s="19">
        <f t="shared" si="12"/>
        <v>32897.835729899998</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3561001.4673688989</v>
      </c>
      <c r="G291" s="42">
        <f t="shared" si="13"/>
        <v>1261112.0424719998</v>
      </c>
      <c r="H291" s="42">
        <f t="shared" si="13"/>
        <v>1277736.3463471001</v>
      </c>
      <c r="I291" s="42">
        <f t="shared" si="13"/>
        <v>866120.08567839989</v>
      </c>
      <c r="J291" s="42">
        <f t="shared" si="13"/>
        <v>1781104.0936819997</v>
      </c>
      <c r="K291" s="42">
        <f t="shared" si="13"/>
        <v>205974.41456999999</v>
      </c>
      <c r="L291" s="41">
        <f t="shared" si="13"/>
        <v>8953048.4501184002</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v>3078.3324999999995</v>
      </c>
      <c r="G296" s="18">
        <v>229.79463000000001</v>
      </c>
      <c r="H296" s="18">
        <v>16336.85542</v>
      </c>
      <c r="I296" s="18">
        <v>22719.685399999995</v>
      </c>
      <c r="J296" s="18">
        <v>617245.52140999993</v>
      </c>
      <c r="K296" s="18">
        <v>0</v>
      </c>
      <c r="L296" s="19">
        <f>SUM(F296:K296)</f>
        <v>659610.18935999996</v>
      </c>
      <c r="M296" s="8"/>
      <c r="N296" s="264"/>
    </row>
    <row r="297" spans="1:14" s="3" customFormat="1" ht="12.2" customHeight="1" x14ac:dyDescent="0.15">
      <c r="A297" s="1" t="s">
        <v>439</v>
      </c>
      <c r="B297" s="2" t="s">
        <v>358</v>
      </c>
      <c r="C297" s="2" t="s">
        <v>291</v>
      </c>
      <c r="D297" s="2" t="s">
        <v>431</v>
      </c>
      <c r="E297" s="6">
        <v>1200</v>
      </c>
      <c r="F297" s="18">
        <v>416033.41350799997</v>
      </c>
      <c r="G297" s="18">
        <v>195868.31769599998</v>
      </c>
      <c r="H297" s="18">
        <v>189603.650238</v>
      </c>
      <c r="I297" s="18">
        <v>51571.373294999998</v>
      </c>
      <c r="J297" s="18">
        <v>48737.356334999997</v>
      </c>
      <c r="K297" s="18">
        <v>7642.7894999999999</v>
      </c>
      <c r="L297" s="19">
        <f>SUM(F297:K297)</f>
        <v>909456.90057199995</v>
      </c>
      <c r="M297" s="8"/>
      <c r="N297" s="2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4"/>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v>22744.257638999999</v>
      </c>
      <c r="G301" s="18">
        <v>12460.193663999999</v>
      </c>
      <c r="H301" s="18">
        <v>289098.22711799998</v>
      </c>
      <c r="I301" s="18">
        <v>132044.522337</v>
      </c>
      <c r="J301" s="18">
        <v>11736.700124999999</v>
      </c>
      <c r="K301" s="18">
        <v>0</v>
      </c>
      <c r="L301" s="19">
        <f t="shared" ref="L301:L307" si="14">SUM(F301:K301)</f>
        <v>468083.90088299994</v>
      </c>
      <c r="M301" s="8"/>
      <c r="N301" s="264"/>
    </row>
    <row r="302" spans="1:14" s="3" customFormat="1" ht="12.2" customHeight="1" x14ac:dyDescent="0.15">
      <c r="A302" s="1" t="s">
        <v>443</v>
      </c>
      <c r="B302" s="2" t="s">
        <v>358</v>
      </c>
      <c r="C302" s="2" t="s">
        <v>295</v>
      </c>
      <c r="D302" s="2" t="s">
        <v>431</v>
      </c>
      <c r="E302" s="6">
        <v>2200</v>
      </c>
      <c r="F302" s="18">
        <v>105137.08768000001</v>
      </c>
      <c r="G302" s="18">
        <v>48629.178209999998</v>
      </c>
      <c r="H302" s="18">
        <v>16912.996520000001</v>
      </c>
      <c r="I302" s="18">
        <v>4683.6682999999994</v>
      </c>
      <c r="J302" s="18">
        <v>19401.470820000002</v>
      </c>
      <c r="K302" s="18">
        <v>0</v>
      </c>
      <c r="L302" s="19">
        <f t="shared" si="14"/>
        <v>194764.40153000003</v>
      </c>
      <c r="M302" s="8"/>
      <c r="N302" s="264"/>
    </row>
    <row r="303" spans="1:14" s="3" customFormat="1" ht="12.2" customHeight="1" x14ac:dyDescent="0.15">
      <c r="A303" s="1" t="s">
        <v>444</v>
      </c>
      <c r="B303" s="2" t="s">
        <v>358</v>
      </c>
      <c r="C303" s="2" t="s">
        <v>296</v>
      </c>
      <c r="D303" s="2" t="s">
        <v>431</v>
      </c>
      <c r="E303" s="6">
        <v>2300</v>
      </c>
      <c r="F303" s="18">
        <v>0</v>
      </c>
      <c r="G303" s="18">
        <v>0</v>
      </c>
      <c r="H303" s="18">
        <v>2590.9059999999999</v>
      </c>
      <c r="I303" s="18">
        <v>0</v>
      </c>
      <c r="J303" s="18">
        <v>0</v>
      </c>
      <c r="K303" s="18">
        <v>0</v>
      </c>
      <c r="L303" s="19">
        <f t="shared" si="14"/>
        <v>2590.9059999999999</v>
      </c>
      <c r="M303" s="8"/>
      <c r="N303" s="264"/>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85523.915519999995</v>
      </c>
      <c r="L305" s="19">
        <f t="shared" si="14"/>
        <v>85523.915519999995</v>
      </c>
      <c r="M305" s="8"/>
      <c r="N305" s="264"/>
    </row>
    <row r="306" spans="1:14" s="3" customFormat="1" ht="12.2" customHeight="1" x14ac:dyDescent="0.15">
      <c r="A306" s="1" t="s">
        <v>447</v>
      </c>
      <c r="B306" s="2" t="s">
        <v>358</v>
      </c>
      <c r="C306" s="2" t="s">
        <v>299</v>
      </c>
      <c r="D306" s="2" t="s">
        <v>431</v>
      </c>
      <c r="E306" s="6">
        <v>2600</v>
      </c>
      <c r="F306" s="18">
        <v>37.95675</v>
      </c>
      <c r="G306" s="18">
        <v>0</v>
      </c>
      <c r="H306" s="18">
        <v>145.27759999999989</v>
      </c>
      <c r="I306" s="18">
        <v>22248.078219999999</v>
      </c>
      <c r="J306" s="18">
        <v>162835.86345</v>
      </c>
      <c r="K306" s="18">
        <v>3165.6044000000002</v>
      </c>
      <c r="L306" s="19">
        <f t="shared" si="14"/>
        <v>188432.78042000002</v>
      </c>
      <c r="M306" s="8"/>
      <c r="N306" s="264"/>
    </row>
    <row r="307" spans="1:14" s="3" customFormat="1" ht="12.2" customHeight="1" x14ac:dyDescent="0.15">
      <c r="A307" s="1" t="s">
        <v>448</v>
      </c>
      <c r="B307" s="2" t="s">
        <v>358</v>
      </c>
      <c r="C307" s="2" t="s">
        <v>300</v>
      </c>
      <c r="D307" s="2" t="s">
        <v>431</v>
      </c>
      <c r="E307" s="6">
        <v>2700</v>
      </c>
      <c r="F307" s="18">
        <v>0</v>
      </c>
      <c r="G307" s="18">
        <v>0</v>
      </c>
      <c r="H307" s="18">
        <v>16575.466076999997</v>
      </c>
      <c r="I307" s="18">
        <v>0</v>
      </c>
      <c r="J307" s="18">
        <v>0</v>
      </c>
      <c r="K307" s="18">
        <v>0</v>
      </c>
      <c r="L307" s="19">
        <f t="shared" si="14"/>
        <v>16575.466076999997</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547031.04807700007</v>
      </c>
      <c r="G310" s="42">
        <f t="shared" si="15"/>
        <v>257187.48419999995</v>
      </c>
      <c r="H310" s="42">
        <f t="shared" si="15"/>
        <v>531263.37897299998</v>
      </c>
      <c r="I310" s="42">
        <f t="shared" si="15"/>
        <v>233267.32755199997</v>
      </c>
      <c r="J310" s="42">
        <f t="shared" si="15"/>
        <v>859956.91213999991</v>
      </c>
      <c r="K310" s="42">
        <f t="shared" si="15"/>
        <v>96332.30941999999</v>
      </c>
      <c r="L310" s="41">
        <f t="shared" si="15"/>
        <v>2525038.4603619995</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4597.335</v>
      </c>
      <c r="G315" s="18">
        <v>343.18673999999999</v>
      </c>
      <c r="H315" s="18">
        <v>24398.273159999997</v>
      </c>
      <c r="I315" s="18">
        <v>33930.709199999998</v>
      </c>
      <c r="J315" s="18">
        <v>921825.18917999987</v>
      </c>
      <c r="K315" s="18">
        <v>0</v>
      </c>
      <c r="L315" s="19">
        <f>SUM(F315:K315)</f>
        <v>985094.69327999989</v>
      </c>
      <c r="M315" s="8"/>
      <c r="N315" s="264"/>
    </row>
    <row r="316" spans="1:14" s="3" customFormat="1" ht="12.2" customHeight="1" x14ac:dyDescent="0.15">
      <c r="A316" s="1" t="s">
        <v>439</v>
      </c>
      <c r="B316" s="2" t="s">
        <v>359</v>
      </c>
      <c r="C316" s="2" t="s">
        <v>291</v>
      </c>
      <c r="D316" s="2" t="s">
        <v>431</v>
      </c>
      <c r="E316" s="6">
        <v>1200</v>
      </c>
      <c r="F316" s="18">
        <v>793406.22553239996</v>
      </c>
      <c r="G316" s="18">
        <v>368474.0330688</v>
      </c>
      <c r="H316" s="18">
        <v>202021.19185140001</v>
      </c>
      <c r="I316" s="18">
        <v>54948.890938500001</v>
      </c>
      <c r="J316" s="18">
        <v>51929.268250499998</v>
      </c>
      <c r="K316" s="18">
        <v>8143.3318500000005</v>
      </c>
      <c r="L316" s="19">
        <f>SUM(F316:K316)</f>
        <v>1478922.9414915999</v>
      </c>
      <c r="M316" s="8"/>
      <c r="N316" s="264"/>
    </row>
    <row r="317" spans="1:14" s="3" customFormat="1" ht="12.2" customHeight="1" x14ac:dyDescent="0.15">
      <c r="A317" s="1" t="s">
        <v>440</v>
      </c>
      <c r="B317" s="2" t="s">
        <v>359</v>
      </c>
      <c r="C317" s="2" t="s">
        <v>292</v>
      </c>
      <c r="D317" s="2" t="s">
        <v>431</v>
      </c>
      <c r="E317" s="6">
        <v>1300</v>
      </c>
      <c r="F317" s="18">
        <v>43616.800000000003</v>
      </c>
      <c r="G317" s="18">
        <v>16864.669999999998</v>
      </c>
      <c r="H317" s="18">
        <v>31623.140000000003</v>
      </c>
      <c r="I317" s="18">
        <v>21137.94</v>
      </c>
      <c r="J317" s="18">
        <v>244536.15</v>
      </c>
      <c r="K317" s="18">
        <v>0</v>
      </c>
      <c r="L317" s="19">
        <f>SUM(F317:K317)</f>
        <v>357778.7</v>
      </c>
      <c r="M317" s="8"/>
      <c r="N317" s="264"/>
    </row>
    <row r="318" spans="1:14" s="3" customFormat="1" ht="12.2" customHeight="1" x14ac:dyDescent="0.15">
      <c r="A318" s="1" t="s">
        <v>441</v>
      </c>
      <c r="B318" s="2" t="s">
        <v>359</v>
      </c>
      <c r="C318" s="2" t="s">
        <v>293</v>
      </c>
      <c r="D318" s="2" t="s">
        <v>431</v>
      </c>
      <c r="E318" s="6">
        <v>1400</v>
      </c>
      <c r="F318" s="18">
        <v>5725.64</v>
      </c>
      <c r="G318" s="18">
        <v>374.07</v>
      </c>
      <c r="H318" s="18">
        <v>125</v>
      </c>
      <c r="I318" s="18">
        <v>3108.59</v>
      </c>
      <c r="J318" s="18">
        <v>0</v>
      </c>
      <c r="K318" s="18">
        <v>104826.48</v>
      </c>
      <c r="L318" s="19">
        <f>SUM(F318:K318)</f>
        <v>114159.78</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v>55486.916881700003</v>
      </c>
      <c r="G320" s="18">
        <v>32087.4879392</v>
      </c>
      <c r="H320" s="18">
        <v>308031.87771540001</v>
      </c>
      <c r="I320" s="18">
        <v>140692.39567110001</v>
      </c>
      <c r="J320" s="18">
        <v>12505.3612875</v>
      </c>
      <c r="K320" s="18">
        <v>0</v>
      </c>
      <c r="L320" s="19">
        <f t="shared" ref="L320:L326" si="16">SUM(F320:K320)</f>
        <v>548804.03949490003</v>
      </c>
      <c r="M320" s="8"/>
      <c r="N320" s="264"/>
    </row>
    <row r="321" spans="1:14" s="3" customFormat="1" ht="12.2" customHeight="1" x14ac:dyDescent="0.15">
      <c r="A321" s="1" t="s">
        <v>443</v>
      </c>
      <c r="B321" s="2" t="s">
        <v>359</v>
      </c>
      <c r="C321" s="2" t="s">
        <v>295</v>
      </c>
      <c r="D321" s="2" t="s">
        <v>431</v>
      </c>
      <c r="E321" s="6">
        <v>2200</v>
      </c>
      <c r="F321" s="18">
        <v>157016.96064</v>
      </c>
      <c r="G321" s="18">
        <v>72625.235580000008</v>
      </c>
      <c r="H321" s="18">
        <v>64796.670960000003</v>
      </c>
      <c r="I321" s="18">
        <v>6994.8233999999993</v>
      </c>
      <c r="J321" s="18">
        <v>28975.122360000001</v>
      </c>
      <c r="K321" s="18">
        <v>0</v>
      </c>
      <c r="L321" s="19">
        <f t="shared" si="16"/>
        <v>330408.81293999997</v>
      </c>
      <c r="M321" s="8"/>
      <c r="N321" s="264"/>
    </row>
    <row r="322" spans="1:14" s="3" customFormat="1" ht="12.2" customHeight="1" x14ac:dyDescent="0.15">
      <c r="A322" s="1" t="s">
        <v>444</v>
      </c>
      <c r="B322" s="2" t="s">
        <v>359</v>
      </c>
      <c r="C322" s="2" t="s">
        <v>296</v>
      </c>
      <c r="D322" s="2" t="s">
        <v>431</v>
      </c>
      <c r="E322" s="6">
        <v>2300</v>
      </c>
      <c r="F322" s="18">
        <v>0</v>
      </c>
      <c r="G322" s="18">
        <v>0</v>
      </c>
      <c r="H322" s="18">
        <v>3869.3879999999999</v>
      </c>
      <c r="I322" s="18">
        <v>0</v>
      </c>
      <c r="J322" s="18">
        <v>0</v>
      </c>
      <c r="K322" s="18">
        <v>0</v>
      </c>
      <c r="L322" s="19">
        <f t="shared" si="16"/>
        <v>3869.3879999999999</v>
      </c>
      <c r="M322" s="8"/>
      <c r="N322" s="264"/>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127725.67296</v>
      </c>
      <c r="L324" s="19">
        <f t="shared" si="16"/>
        <v>127725.67296</v>
      </c>
      <c r="M324" s="8"/>
      <c r="N324" s="264"/>
    </row>
    <row r="325" spans="1:14" s="3" customFormat="1" ht="12.2" customHeight="1" x14ac:dyDescent="0.15">
      <c r="A325" s="1" t="s">
        <v>447</v>
      </c>
      <c r="B325" s="2" t="s">
        <v>359</v>
      </c>
      <c r="C325" s="2" t="s">
        <v>299</v>
      </c>
      <c r="D325" s="2" t="s">
        <v>431</v>
      </c>
      <c r="E325" s="6">
        <v>2600</v>
      </c>
      <c r="F325" s="18">
        <v>56.686499999999995</v>
      </c>
      <c r="G325" s="18">
        <v>0</v>
      </c>
      <c r="H325" s="18">
        <v>216.96479999999988</v>
      </c>
      <c r="I325" s="18">
        <v>33226.387560000003</v>
      </c>
      <c r="J325" s="18">
        <v>105437.0131</v>
      </c>
      <c r="K325" s="18">
        <v>4845.0612000000001</v>
      </c>
      <c r="L325" s="19">
        <f t="shared" si="16"/>
        <v>143782.11316000001</v>
      </c>
      <c r="M325" s="8"/>
      <c r="N325" s="264"/>
    </row>
    <row r="326" spans="1:14" s="3" customFormat="1" ht="12.2" customHeight="1" x14ac:dyDescent="0.15">
      <c r="A326" s="1" t="s">
        <v>448</v>
      </c>
      <c r="B326" s="2" t="s">
        <v>359</v>
      </c>
      <c r="C326" s="2" t="s">
        <v>300</v>
      </c>
      <c r="D326" s="2" t="s">
        <v>431</v>
      </c>
      <c r="E326" s="6">
        <v>2700</v>
      </c>
      <c r="F326" s="18">
        <v>0</v>
      </c>
      <c r="G326" s="18">
        <v>0</v>
      </c>
      <c r="H326" s="18">
        <v>17620.028193099999</v>
      </c>
      <c r="I326" s="18">
        <v>0</v>
      </c>
      <c r="J326" s="18">
        <v>0</v>
      </c>
      <c r="K326" s="18">
        <v>0</v>
      </c>
      <c r="L326" s="19">
        <f t="shared" si="16"/>
        <v>17620.028193099999</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1059906.5645541002</v>
      </c>
      <c r="G329" s="42">
        <f t="shared" si="17"/>
        <v>490768.68332800001</v>
      </c>
      <c r="H329" s="42">
        <f t="shared" si="17"/>
        <v>652702.53467990004</v>
      </c>
      <c r="I329" s="42">
        <f t="shared" si="17"/>
        <v>294039.73676960001</v>
      </c>
      <c r="J329" s="42">
        <f t="shared" si="17"/>
        <v>1365208.1041779998</v>
      </c>
      <c r="K329" s="42">
        <f t="shared" si="17"/>
        <v>245540.54600999999</v>
      </c>
      <c r="L329" s="41">
        <f t="shared" si="17"/>
        <v>4108166.1695196</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v>25736.879999999997</v>
      </c>
      <c r="G333" s="18">
        <v>1644.9</v>
      </c>
      <c r="H333" s="18">
        <v>0</v>
      </c>
      <c r="I333" s="18">
        <v>0</v>
      </c>
      <c r="J333" s="18">
        <v>34500.959999999999</v>
      </c>
      <c r="K333" s="18">
        <v>0</v>
      </c>
      <c r="L333" s="19">
        <f t="shared" ref="L333:L338" si="18">SUM(F333:K333)</f>
        <v>61882.74</v>
      </c>
      <c r="M333" s="8"/>
      <c r="N333" s="264"/>
    </row>
    <row r="334" spans="1:14" s="3" customFormat="1" ht="12.2" customHeight="1" x14ac:dyDescent="0.15">
      <c r="A334" s="1" t="s">
        <v>353</v>
      </c>
      <c r="B334" s="6">
        <v>14</v>
      </c>
      <c r="C334" s="2" t="s">
        <v>309</v>
      </c>
      <c r="D334" s="2" t="s">
        <v>431</v>
      </c>
      <c r="E334" s="6">
        <v>1600</v>
      </c>
      <c r="F334" s="18">
        <v>101421.35</v>
      </c>
      <c r="G334" s="18">
        <v>8943.6500000000015</v>
      </c>
      <c r="H334" s="18">
        <v>7386.2400000000007</v>
      </c>
      <c r="I334" s="18">
        <v>9810.3700000000008</v>
      </c>
      <c r="J334" s="18">
        <v>18453.38</v>
      </c>
      <c r="K334" s="18">
        <v>0</v>
      </c>
      <c r="L334" s="19">
        <f t="shared" si="18"/>
        <v>146014.99</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127158.23000000001</v>
      </c>
      <c r="G338" s="41">
        <f t="shared" si="19"/>
        <v>10588.550000000001</v>
      </c>
      <c r="H338" s="41">
        <f t="shared" si="19"/>
        <v>7386.2400000000007</v>
      </c>
      <c r="I338" s="41">
        <f t="shared" si="19"/>
        <v>9810.3700000000008</v>
      </c>
      <c r="J338" s="41">
        <f t="shared" si="19"/>
        <v>52954.34</v>
      </c>
      <c r="K338" s="41">
        <f t="shared" si="19"/>
        <v>0</v>
      </c>
      <c r="L338" s="41">
        <f t="shared" si="18"/>
        <v>207897.72999999998</v>
      </c>
      <c r="M338" s="8"/>
      <c r="N338" s="264"/>
    </row>
    <row r="339" spans="1:43" s="3" customFormat="1" ht="12.2" customHeight="1" thickTop="1" x14ac:dyDescent="0.15">
      <c r="A339" s="38" t="s">
        <v>468</v>
      </c>
      <c r="B339" s="40">
        <v>14</v>
      </c>
      <c r="C339" s="40">
        <v>7</v>
      </c>
      <c r="D339" s="39" t="s">
        <v>431</v>
      </c>
      <c r="E339" s="40"/>
      <c r="F339" s="41">
        <f t="shared" ref="F339:L339" si="20">F291+F310+F329+F338</f>
        <v>5295097.3099999996</v>
      </c>
      <c r="G339" s="41">
        <f t="shared" si="20"/>
        <v>2019656.7599999995</v>
      </c>
      <c r="H339" s="41">
        <f t="shared" si="20"/>
        <v>2469088.5000000005</v>
      </c>
      <c r="I339" s="41">
        <f t="shared" si="20"/>
        <v>1403237.52</v>
      </c>
      <c r="J339" s="41">
        <f t="shared" si="20"/>
        <v>4059223.4499999993</v>
      </c>
      <c r="K339" s="41">
        <f t="shared" si="20"/>
        <v>547847.27</v>
      </c>
      <c r="L339" s="41">
        <f t="shared" si="20"/>
        <v>15794150.809999999</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5295097.3099999996</v>
      </c>
      <c r="G353" s="41">
        <f>G339</f>
        <v>2019656.7599999995</v>
      </c>
      <c r="H353" s="41">
        <f>H339</f>
        <v>2469088.5000000005</v>
      </c>
      <c r="I353" s="41">
        <f>I339</f>
        <v>1403237.52</v>
      </c>
      <c r="J353" s="41">
        <f>J339</f>
        <v>4059223.4499999993</v>
      </c>
      <c r="K353" s="47">
        <f>K339+K352</f>
        <v>547847.27</v>
      </c>
      <c r="L353" s="41">
        <f>L339+L352</f>
        <v>15794150.809999999</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606254.79743000004</v>
      </c>
      <c r="G359" s="18">
        <v>283995.99413999991</v>
      </c>
      <c r="H359" s="18">
        <v>26672.412079999995</v>
      </c>
      <c r="I359" s="18">
        <v>463715.83270000003</v>
      </c>
      <c r="J359" s="18">
        <v>8286.815700000001</v>
      </c>
      <c r="K359" s="18">
        <v>0</v>
      </c>
      <c r="L359" s="13">
        <f>SUM(F359:K359)</f>
        <v>1388925.8520499999</v>
      </c>
      <c r="M359" s="8"/>
      <c r="N359" s="264"/>
    </row>
    <row r="360" spans="1:22" s="3" customFormat="1" ht="12.2" customHeight="1" x14ac:dyDescent="0.15">
      <c r="A360" s="1" t="s">
        <v>542</v>
      </c>
      <c r="B360" s="2" t="s">
        <v>366</v>
      </c>
      <c r="C360" s="6">
        <v>2</v>
      </c>
      <c r="D360" s="2" t="s">
        <v>431</v>
      </c>
      <c r="E360" s="6"/>
      <c r="F360" s="18">
        <v>336022.36343000003</v>
      </c>
      <c r="G360" s="18">
        <v>145498.07213999997</v>
      </c>
      <c r="H360" s="18">
        <v>13730.51808</v>
      </c>
      <c r="I360" s="18">
        <v>102573.1927</v>
      </c>
      <c r="J360" s="18">
        <v>4924.3157000000001</v>
      </c>
      <c r="K360" s="18">
        <v>0</v>
      </c>
      <c r="L360" s="19">
        <f>SUM(F360:K360)</f>
        <v>602748.46204999997</v>
      </c>
      <c r="M360" s="8"/>
      <c r="N360" s="264"/>
    </row>
    <row r="361" spans="1:22" s="3" customFormat="1" ht="12.2" customHeight="1" x14ac:dyDescent="0.15">
      <c r="A361" s="3" t="s">
        <v>543</v>
      </c>
      <c r="B361" s="2" t="s">
        <v>366</v>
      </c>
      <c r="C361" s="6">
        <v>3</v>
      </c>
      <c r="D361" s="2" t="s">
        <v>431</v>
      </c>
      <c r="E361" s="6"/>
      <c r="F361" s="18">
        <v>489204.68914000009</v>
      </c>
      <c r="G361" s="18">
        <v>285240.94371999998</v>
      </c>
      <c r="H361" s="18">
        <v>20102.04984</v>
      </c>
      <c r="I361" s="18">
        <v>122173.57460000001</v>
      </c>
      <c r="J361" s="18">
        <v>16849.488600000001</v>
      </c>
      <c r="K361" s="18">
        <v>0</v>
      </c>
      <c r="L361" s="19">
        <f>SUM(F361:K361)</f>
        <v>933570.7459000001</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1431481.85</v>
      </c>
      <c r="G363" s="47">
        <f t="shared" si="22"/>
        <v>714735.00999999989</v>
      </c>
      <c r="H363" s="47">
        <f t="shared" si="22"/>
        <v>60504.979999999996</v>
      </c>
      <c r="I363" s="47">
        <f t="shared" si="22"/>
        <v>688462.60000000009</v>
      </c>
      <c r="J363" s="47">
        <f t="shared" si="22"/>
        <v>30060.620000000003</v>
      </c>
      <c r="K363" s="47">
        <f t="shared" si="22"/>
        <v>0</v>
      </c>
      <c r="L363" s="47">
        <f t="shared" si="22"/>
        <v>2925245.06</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388855.35420999996</v>
      </c>
      <c r="G368" s="18">
        <v>77861.156210000001</v>
      </c>
      <c r="H368" s="18">
        <v>99135.519579999993</v>
      </c>
      <c r="I368" s="56">
        <f>SUM(F368:H368)</f>
        <v>565852.02999999991</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74860.478489999994</v>
      </c>
      <c r="G369" s="63">
        <v>24712.036489999999</v>
      </c>
      <c r="H369" s="63">
        <v>23038.05502</v>
      </c>
      <c r="I369" s="56">
        <f>SUM(F369:H369)</f>
        <v>122610.56999999999</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463715.83269999997</v>
      </c>
      <c r="G370" s="47">
        <f>SUM(G368:G369)</f>
        <v>102573.1927</v>
      </c>
      <c r="H370" s="47">
        <f>SUM(H368:H369)</f>
        <v>122173.57459999999</v>
      </c>
      <c r="I370" s="47">
        <f>SUM(I368:I369)</f>
        <v>688462.59999999986</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v>380000</v>
      </c>
      <c r="L375" s="13">
        <f>SUM(F375:K375)</f>
        <v>380000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v>15110157.98</v>
      </c>
      <c r="L379" s="13">
        <f t="shared" si="23"/>
        <v>15110157.98</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15490157.98</v>
      </c>
      <c r="L383" s="47">
        <f t="shared" si="24"/>
        <v>15490157.98</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v>38509.550000000003</v>
      </c>
      <c r="H393" s="18">
        <v>963.82</v>
      </c>
      <c r="I393" s="18"/>
      <c r="J393" s="24" t="s">
        <v>288</v>
      </c>
      <c r="K393" s="24" t="s">
        <v>288</v>
      </c>
      <c r="L393" s="56">
        <f t="shared" si="25"/>
        <v>39473.370000000003</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38509.550000000003</v>
      </c>
      <c r="H394" s="139">
        <f>SUM(H388:H393)</f>
        <v>963.82</v>
      </c>
      <c r="I394" s="65">
        <f>SUM(I388:I393)</f>
        <v>0</v>
      </c>
      <c r="J394" s="45" t="s">
        <v>288</v>
      </c>
      <c r="K394" s="45" t="s">
        <v>288</v>
      </c>
      <c r="L394" s="47">
        <f>SUM(L388:L393)</f>
        <v>39473.370000000003</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4"/>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v>1047.3399999999999</v>
      </c>
      <c r="I401" s="18">
        <v>193587.7</v>
      </c>
      <c r="J401" s="24" t="s">
        <v>288</v>
      </c>
      <c r="K401" s="24" t="s">
        <v>288</v>
      </c>
      <c r="L401" s="56">
        <f t="shared" si="26"/>
        <v>194635.04</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1047.3399999999999</v>
      </c>
      <c r="I402" s="47">
        <f>SUM(I396:I401)</f>
        <v>193587.7</v>
      </c>
      <c r="J402" s="45" t="s">
        <v>288</v>
      </c>
      <c r="K402" s="45" t="s">
        <v>288</v>
      </c>
      <c r="L402" s="47">
        <f>SUM(L396:L401)</f>
        <v>194635.04</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v>1386268.92</v>
      </c>
      <c r="I404" s="18">
        <v>44670.8</v>
      </c>
      <c r="J404" s="24" t="s">
        <v>288</v>
      </c>
      <c r="K404" s="24" t="s">
        <v>288</v>
      </c>
      <c r="L404" s="56">
        <f>SUM(F404:K404)</f>
        <v>1430939.72</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1386268.92</v>
      </c>
      <c r="I408" s="47">
        <f>SUM(I404:I407)</f>
        <v>44670.8</v>
      </c>
      <c r="J408" s="49" t="s">
        <v>288</v>
      </c>
      <c r="K408" s="49" t="s">
        <v>288</v>
      </c>
      <c r="L408" s="47">
        <f>SUM(L404:L407)</f>
        <v>1430939.72</v>
      </c>
      <c r="M408" s="8"/>
      <c r="N408" s="264"/>
    </row>
    <row r="409" spans="1:21" s="3" customFormat="1" ht="12.2" customHeight="1" thickTop="1" x14ac:dyDescent="0.15">
      <c r="A409" s="78" t="s">
        <v>421</v>
      </c>
      <c r="B409" s="2" t="s">
        <v>381</v>
      </c>
      <c r="C409" s="6">
        <v>20</v>
      </c>
      <c r="D409" s="6"/>
      <c r="E409" s="40"/>
      <c r="F409" s="47">
        <f>F394+F402+F408</f>
        <v>0</v>
      </c>
      <c r="G409" s="47">
        <f>G394+G402+G408</f>
        <v>38509.550000000003</v>
      </c>
      <c r="H409" s="47">
        <f>H394+H402+H408</f>
        <v>1388280.0799999998</v>
      </c>
      <c r="I409" s="47">
        <f>I394+I402+I408</f>
        <v>238258.5</v>
      </c>
      <c r="J409" s="24" t="s">
        <v>288</v>
      </c>
      <c r="K409" s="24" t="s">
        <v>288</v>
      </c>
      <c r="L409" s="47">
        <f>L394+L402+L408</f>
        <v>1665048.13</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v>1000</v>
      </c>
      <c r="I427" s="18">
        <v>81107.039999999994</v>
      </c>
      <c r="J427" s="18">
        <v>15534.38</v>
      </c>
      <c r="K427" s="18">
        <v>150000</v>
      </c>
      <c r="L427" s="56">
        <f t="shared" si="29"/>
        <v>247641.41999999998</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1000</v>
      </c>
      <c r="I428" s="47">
        <f t="shared" si="30"/>
        <v>81107.039999999994</v>
      </c>
      <c r="J428" s="47">
        <f t="shared" si="30"/>
        <v>15534.38</v>
      </c>
      <c r="K428" s="47">
        <f t="shared" si="30"/>
        <v>150000</v>
      </c>
      <c r="L428" s="47">
        <f t="shared" si="30"/>
        <v>247641.41999999998</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v>199371.33</v>
      </c>
      <c r="I430" s="18"/>
      <c r="J430" s="18"/>
      <c r="K430" s="18"/>
      <c r="L430" s="56">
        <f>SUM(F430:K430)</f>
        <v>199371.33</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199371.33</v>
      </c>
      <c r="I434" s="47">
        <f t="shared" si="31"/>
        <v>0</v>
      </c>
      <c r="J434" s="47">
        <f t="shared" si="31"/>
        <v>0</v>
      </c>
      <c r="K434" s="47">
        <f t="shared" si="31"/>
        <v>0</v>
      </c>
      <c r="L434" s="47">
        <f t="shared" si="31"/>
        <v>199371.33</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200371.33</v>
      </c>
      <c r="I435" s="47">
        <f t="shared" si="32"/>
        <v>81107.039999999994</v>
      </c>
      <c r="J435" s="47">
        <f t="shared" si="32"/>
        <v>15534.38</v>
      </c>
      <c r="K435" s="47">
        <f t="shared" si="32"/>
        <v>150000</v>
      </c>
      <c r="L435" s="47">
        <f t="shared" si="32"/>
        <v>447012.75</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v>1016691.8</v>
      </c>
      <c r="G440" s="18">
        <v>1024567.44</v>
      </c>
      <c r="H440" s="18">
        <v>102326.16</v>
      </c>
      <c r="I440" s="56">
        <f t="shared" ref="I440:I446" si="33">SUM(F440:H440)</f>
        <v>2143585.4</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v>8094530.3099999996</v>
      </c>
      <c r="I441" s="56">
        <f t="shared" si="33"/>
        <v>8094530.3099999996</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v>38509.550000000003</v>
      </c>
      <c r="G442" s="18">
        <v>21456.46</v>
      </c>
      <c r="H442" s="18"/>
      <c r="I442" s="56">
        <f t="shared" si="33"/>
        <v>59966.01</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1055201.3500000001</v>
      </c>
      <c r="G447" s="13">
        <f>SUM(G440:G446)</f>
        <v>1046023.8999999999</v>
      </c>
      <c r="H447" s="13">
        <f>SUM(H440:H446)</f>
        <v>8196856.4699999997</v>
      </c>
      <c r="I447" s="13">
        <f>SUM(I440:I446)</f>
        <v>10298081.719999999</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v>154716.69</v>
      </c>
      <c r="I449" s="56">
        <f>SUM(F449:H449)</f>
        <v>154716.69</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154716.69</v>
      </c>
      <c r="I453" s="72">
        <f>SUM(I449:I452)</f>
        <v>154716.69</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v>49070.86</v>
      </c>
      <c r="H456" s="18"/>
      <c r="I456" s="56">
        <f t="shared" si="34"/>
        <v>49070.86</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v>7648036.96</v>
      </c>
      <c r="I458" s="56">
        <f t="shared" si="34"/>
        <v>7648036.96</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v>394102.82</v>
      </c>
      <c r="I459" s="56">
        <f t="shared" si="34"/>
        <v>394102.82</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1055201.3500000001</v>
      </c>
      <c r="G460" s="18">
        <v>996953.04</v>
      </c>
      <c r="H460" s="18"/>
      <c r="I460" s="56">
        <f t="shared" si="34"/>
        <v>2052154.3900000001</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1055201.3500000001</v>
      </c>
      <c r="G461" s="83">
        <f>SUM(G455:G460)</f>
        <v>1046023.9</v>
      </c>
      <c r="H461" s="83">
        <f>SUM(H455:H460)</f>
        <v>8042139.7800000003</v>
      </c>
      <c r="I461" s="83">
        <f>SUM(I455:I460)</f>
        <v>10143365.030000001</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1055201.3500000001</v>
      </c>
      <c r="G462" s="42">
        <f>G453+G461</f>
        <v>1046023.9</v>
      </c>
      <c r="H462" s="42">
        <f>H453+H461</f>
        <v>8196856.4700000007</v>
      </c>
      <c r="I462" s="42">
        <f>I453+I461</f>
        <v>10298081.720000001</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0</v>
      </c>
      <c r="G466" s="18">
        <v>251898.79</v>
      </c>
      <c r="H466" s="18">
        <v>2051566.88</v>
      </c>
      <c r="I466" s="18">
        <v>894669.07</v>
      </c>
      <c r="J466" s="18">
        <v>8925329.6500000004</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165217028.47999999</v>
      </c>
      <c r="G469" s="18">
        <v>2905898.72</v>
      </c>
      <c r="H469" s="18">
        <v>15778130.99</v>
      </c>
      <c r="I469" s="18">
        <v>6400000</v>
      </c>
      <c r="J469" s="18">
        <v>1665048.13</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165217028.47999999</v>
      </c>
      <c r="G471" s="53">
        <f>SUM(G469:G470)</f>
        <v>2905898.72</v>
      </c>
      <c r="H471" s="53">
        <f>SUM(H469:H470)</f>
        <v>15778130.99</v>
      </c>
      <c r="I471" s="53">
        <f>SUM(I469:I470)</f>
        <v>6400000</v>
      </c>
      <c r="J471" s="53">
        <f>SUM(J469:J470)</f>
        <v>1665048.13</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165217028.47999999</v>
      </c>
      <c r="G473" s="18">
        <v>2925245.06</v>
      </c>
      <c r="H473" s="18">
        <v>15794150.810000001</v>
      </c>
      <c r="I473" s="18">
        <v>15490157.98</v>
      </c>
      <c r="J473" s="18">
        <v>447012.75</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165217028.47999999</v>
      </c>
      <c r="G475" s="53">
        <f>SUM(G473:G474)</f>
        <v>2925245.06</v>
      </c>
      <c r="H475" s="53">
        <f>SUM(H473:H474)</f>
        <v>15794150.810000001</v>
      </c>
      <c r="I475" s="53">
        <f>SUM(I473:I474)</f>
        <v>15490157.98</v>
      </c>
      <c r="J475" s="53">
        <f>SUM(J473:J474)</f>
        <v>447012.75</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0</v>
      </c>
      <c r="G477" s="53">
        <f>(G466+G471)- G475</f>
        <v>232552.45000000019</v>
      </c>
      <c r="H477" s="53">
        <f>(H466+H471)- H475</f>
        <v>2035547.0600000005</v>
      </c>
      <c r="I477" s="53">
        <f>(I466+I471)- I475</f>
        <v>-8195488.9100000001</v>
      </c>
      <c r="J477" s="53">
        <f>(J466+J471)- J475</f>
        <v>10143365.030000001</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40711000</v>
      </c>
      <c r="G496" s="18"/>
      <c r="H496" s="18"/>
      <c r="I496" s="18"/>
      <c r="J496" s="18"/>
      <c r="K496" s="53">
        <f>SUM(F496:J496)</f>
        <v>40711000</v>
      </c>
      <c r="L496" s="24" t="s">
        <v>288</v>
      </c>
      <c r="N496" s="263"/>
    </row>
    <row r="497" spans="1:14" s="52" customFormat="1" ht="12.2" customHeight="1" x14ac:dyDescent="0.2">
      <c r="A497" s="22" t="s">
        <v>620</v>
      </c>
      <c r="B497" s="75">
        <v>20</v>
      </c>
      <c r="C497" s="115">
        <v>7</v>
      </c>
      <c r="D497" s="2" t="s">
        <v>432</v>
      </c>
      <c r="E497" s="115"/>
      <c r="F497" s="18">
        <v>6400000</v>
      </c>
      <c r="G497" s="18"/>
      <c r="H497" s="18"/>
      <c r="I497" s="18"/>
      <c r="J497" s="18"/>
      <c r="K497" s="53">
        <f t="shared" ref="K497:K504" si="35">SUM(F497:J497)</f>
        <v>6400000</v>
      </c>
      <c r="L497" s="24" t="s">
        <v>288</v>
      </c>
      <c r="N497" s="263"/>
    </row>
    <row r="498" spans="1:14" s="52" customFormat="1" ht="12.2" customHeight="1" x14ac:dyDescent="0.2">
      <c r="A498" s="22" t="s">
        <v>621</v>
      </c>
      <c r="B498" s="75">
        <v>20</v>
      </c>
      <c r="C498" s="115">
        <v>8</v>
      </c>
      <c r="D498" s="2" t="s">
        <v>432</v>
      </c>
      <c r="E498" s="115"/>
      <c r="F498" s="18">
        <v>7829000</v>
      </c>
      <c r="G498" s="18"/>
      <c r="H498" s="18"/>
      <c r="I498" s="18"/>
      <c r="J498" s="18"/>
      <c r="K498" s="53">
        <f t="shared" si="35"/>
        <v>7829000</v>
      </c>
      <c r="L498" s="24" t="s">
        <v>288</v>
      </c>
      <c r="N498" s="263"/>
    </row>
    <row r="499" spans="1:14" s="52" customFormat="1" ht="12.2" customHeight="1" x14ac:dyDescent="0.2">
      <c r="A499" s="200" t="s">
        <v>622</v>
      </c>
      <c r="B499" s="201">
        <v>20</v>
      </c>
      <c r="C499" s="202">
        <v>9</v>
      </c>
      <c r="D499" s="203" t="s">
        <v>432</v>
      </c>
      <c r="E499" s="202"/>
      <c r="F499" s="204">
        <v>39282000</v>
      </c>
      <c r="G499" s="204"/>
      <c r="H499" s="204"/>
      <c r="I499" s="204"/>
      <c r="J499" s="204"/>
      <c r="K499" s="205">
        <f t="shared" si="35"/>
        <v>39282000</v>
      </c>
      <c r="L499" s="206" t="s">
        <v>288</v>
      </c>
      <c r="N499" s="263"/>
    </row>
    <row r="500" spans="1:14" s="52" customFormat="1" ht="12.2" customHeight="1" thickBot="1" x14ac:dyDescent="0.25">
      <c r="A500" s="22" t="s">
        <v>623</v>
      </c>
      <c r="B500" s="75">
        <v>20</v>
      </c>
      <c r="C500" s="115">
        <v>10</v>
      </c>
      <c r="D500" s="2" t="s">
        <v>432</v>
      </c>
      <c r="E500" s="115"/>
      <c r="F500" s="18">
        <v>8761795</v>
      </c>
      <c r="G500" s="18"/>
      <c r="H500" s="18"/>
      <c r="I500" s="18"/>
      <c r="J500" s="18"/>
      <c r="K500" s="53">
        <f t="shared" si="35"/>
        <v>8761795</v>
      </c>
      <c r="L500" s="24" t="s">
        <v>288</v>
      </c>
      <c r="N500" s="263"/>
    </row>
    <row r="501" spans="1:14" s="52" customFormat="1" ht="12.2" customHeight="1" thickTop="1" x14ac:dyDescent="0.2">
      <c r="A501" s="139" t="s">
        <v>624</v>
      </c>
      <c r="B501" s="44">
        <v>20</v>
      </c>
      <c r="C501" s="195">
        <v>11</v>
      </c>
      <c r="D501" s="39" t="s">
        <v>432</v>
      </c>
      <c r="E501" s="195"/>
      <c r="F501" s="42">
        <f>SUM(F499:F500)</f>
        <v>48043795</v>
      </c>
      <c r="G501" s="42">
        <f>SUM(G499:G500)</f>
        <v>0</v>
      </c>
      <c r="H501" s="42">
        <f>SUM(H499:H500)</f>
        <v>0</v>
      </c>
      <c r="I501" s="42">
        <f>SUM(I499:I500)</f>
        <v>0</v>
      </c>
      <c r="J501" s="42">
        <f>SUM(J499:J500)</f>
        <v>0</v>
      </c>
      <c r="K501" s="42">
        <f t="shared" si="35"/>
        <v>48043795</v>
      </c>
      <c r="L501" s="45" t="s">
        <v>288</v>
      </c>
      <c r="N501" s="263"/>
    </row>
    <row r="502" spans="1:14" s="52" customFormat="1" ht="12.2" customHeight="1" x14ac:dyDescent="0.2">
      <c r="A502" s="200" t="s">
        <v>651</v>
      </c>
      <c r="B502" s="201">
        <v>20</v>
      </c>
      <c r="C502" s="202">
        <v>12</v>
      </c>
      <c r="D502" s="203" t="s">
        <v>432</v>
      </c>
      <c r="E502" s="202"/>
      <c r="F502" s="204">
        <v>5860000</v>
      </c>
      <c r="G502" s="204"/>
      <c r="H502" s="204"/>
      <c r="I502" s="204"/>
      <c r="J502" s="204"/>
      <c r="K502" s="205">
        <f t="shared" si="35"/>
        <v>5860000</v>
      </c>
      <c r="L502" s="206" t="s">
        <v>288</v>
      </c>
      <c r="N502" s="263"/>
    </row>
    <row r="503" spans="1:14" s="52" customFormat="1" ht="12.2" customHeight="1" thickBot="1" x14ac:dyDescent="0.25">
      <c r="A503" s="22" t="s">
        <v>625</v>
      </c>
      <c r="B503" s="75">
        <v>20</v>
      </c>
      <c r="C503" s="115">
        <v>13</v>
      </c>
      <c r="D503" s="2" t="s">
        <v>432</v>
      </c>
      <c r="E503" s="115"/>
      <c r="F503" s="18">
        <v>1476802</v>
      </c>
      <c r="G503" s="18"/>
      <c r="H503" s="18"/>
      <c r="I503" s="18"/>
      <c r="J503" s="18"/>
      <c r="K503" s="53">
        <f t="shared" si="35"/>
        <v>1476802</v>
      </c>
      <c r="L503" s="24" t="s">
        <v>288</v>
      </c>
      <c r="N503" s="263"/>
    </row>
    <row r="504" spans="1:14" s="52" customFormat="1" ht="12.2" customHeight="1" thickTop="1" x14ac:dyDescent="0.2">
      <c r="A504" s="139" t="s">
        <v>626</v>
      </c>
      <c r="B504" s="44">
        <v>20</v>
      </c>
      <c r="C504" s="195">
        <v>14</v>
      </c>
      <c r="D504" s="39" t="s">
        <v>432</v>
      </c>
      <c r="E504" s="195"/>
      <c r="F504" s="42">
        <f>SUM(F502:F503)</f>
        <v>7336802</v>
      </c>
      <c r="G504" s="42">
        <f>SUM(G502:G503)</f>
        <v>0</v>
      </c>
      <c r="H504" s="42">
        <f>SUM(H502:H503)</f>
        <v>0</v>
      </c>
      <c r="I504" s="42">
        <f>SUM(I502:I503)</f>
        <v>0</v>
      </c>
      <c r="J504" s="42">
        <f>SUM(J502:J503)</f>
        <v>0</v>
      </c>
      <c r="K504" s="42">
        <f t="shared" si="35"/>
        <v>7336802</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v>11082343.810000001</v>
      </c>
      <c r="G508" s="144"/>
      <c r="H508" s="144">
        <v>1035489.37</v>
      </c>
      <c r="I508" s="144">
        <v>10046854.439999999</v>
      </c>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8489096.6175910011</v>
      </c>
      <c r="G522" s="18">
        <v>3533966.0374026</v>
      </c>
      <c r="H522" s="18">
        <v>935046.42258151469</v>
      </c>
      <c r="I522" s="18">
        <v>123207.03627910001</v>
      </c>
      <c r="J522" s="18">
        <v>47752.102004300003</v>
      </c>
      <c r="K522" s="18">
        <v>15168.878650000001</v>
      </c>
      <c r="L522" s="88">
        <f>SUM(F522:K522)</f>
        <v>13144237.094508518</v>
      </c>
      <c r="N522" s="263"/>
    </row>
    <row r="523" spans="1:14" s="52" customFormat="1" ht="12.2" customHeight="1" x14ac:dyDescent="0.2">
      <c r="A523" s="22" t="s">
        <v>634</v>
      </c>
      <c r="B523" s="105">
        <v>21</v>
      </c>
      <c r="C523" s="115">
        <v>2</v>
      </c>
      <c r="D523" s="2" t="s">
        <v>432</v>
      </c>
      <c r="E523" s="115"/>
      <c r="F523" s="18">
        <v>2992123.7939300002</v>
      </c>
      <c r="G523" s="18">
        <v>1355990.929398</v>
      </c>
      <c r="H523" s="18">
        <v>1619194.4051482643</v>
      </c>
      <c r="I523" s="18">
        <v>57270.207992999996</v>
      </c>
      <c r="J523" s="18">
        <v>16995.808389000002</v>
      </c>
      <c r="K523" s="18">
        <v>7642.7894999999999</v>
      </c>
      <c r="L523" s="88">
        <f>SUM(F523:K523)</f>
        <v>6049217.9343582634</v>
      </c>
      <c r="N523" s="263"/>
    </row>
    <row r="524" spans="1:14" s="52" customFormat="1" ht="12.2" customHeight="1" thickBot="1" x14ac:dyDescent="0.25">
      <c r="A524" s="22" t="s">
        <v>635</v>
      </c>
      <c r="B524" s="105">
        <v>21</v>
      </c>
      <c r="C524" s="115">
        <v>3</v>
      </c>
      <c r="D524" s="2" t="s">
        <v>432</v>
      </c>
      <c r="E524" s="115"/>
      <c r="F524" s="18">
        <v>3094691.8584790002</v>
      </c>
      <c r="G524" s="18">
        <v>1449732.9431994001</v>
      </c>
      <c r="H524" s="18">
        <v>4659491.1022702204</v>
      </c>
      <c r="I524" s="18">
        <v>55820.345727899999</v>
      </c>
      <c r="J524" s="18">
        <v>18108.899606700001</v>
      </c>
      <c r="K524" s="18">
        <v>8143.3318500000005</v>
      </c>
      <c r="L524" s="88">
        <f>SUM(F524:K524)</f>
        <v>9285988.4811332189</v>
      </c>
      <c r="N524" s="263"/>
    </row>
    <row r="525" spans="1:14" s="52" customFormat="1" ht="12.2" customHeight="1" thickTop="1" x14ac:dyDescent="0.2">
      <c r="A525" s="139" t="s">
        <v>63</v>
      </c>
      <c r="B525" s="107">
        <v>21</v>
      </c>
      <c r="C525" s="195">
        <v>4</v>
      </c>
      <c r="D525" s="196" t="s">
        <v>432</v>
      </c>
      <c r="E525" s="195"/>
      <c r="F525" s="108">
        <f>SUM(F522:F524)</f>
        <v>14575912.270000001</v>
      </c>
      <c r="G525" s="108">
        <f t="shared" ref="G525:L525" si="36">SUM(G522:G524)</f>
        <v>6339689.9100000001</v>
      </c>
      <c r="H525" s="108">
        <f t="shared" si="36"/>
        <v>7213731.9299999997</v>
      </c>
      <c r="I525" s="108">
        <f t="shared" si="36"/>
        <v>236297.59000000003</v>
      </c>
      <c r="J525" s="108">
        <f t="shared" si="36"/>
        <v>82856.81</v>
      </c>
      <c r="K525" s="108">
        <f t="shared" si="36"/>
        <v>30955</v>
      </c>
      <c r="L525" s="89">
        <f t="shared" si="36"/>
        <v>28479443.510000002</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2053569.9374400002</v>
      </c>
      <c r="G527" s="18">
        <v>942112.99459200003</v>
      </c>
      <c r="H527" s="18">
        <v>806564.31811199989</v>
      </c>
      <c r="I527" s="18">
        <v>5961.4614240000001</v>
      </c>
      <c r="J527" s="18">
        <v>4651.2775680000004</v>
      </c>
      <c r="K527" s="18">
        <v>0</v>
      </c>
      <c r="L527" s="88">
        <f>SUM(F527:K527)</f>
        <v>3812859.9891360002</v>
      </c>
      <c r="M527" s="8"/>
      <c r="N527" s="264"/>
    </row>
    <row r="528" spans="1:14" s="3" customFormat="1" ht="12.2" customHeight="1" x14ac:dyDescent="0.15">
      <c r="A528" s="22" t="s">
        <v>634</v>
      </c>
      <c r="B528" s="105">
        <v>21</v>
      </c>
      <c r="C528" s="115">
        <v>6</v>
      </c>
      <c r="D528" s="2" t="s">
        <v>432</v>
      </c>
      <c r="E528" s="115"/>
      <c r="F528" s="18">
        <v>1058217.1616400001</v>
      </c>
      <c r="G528" s="18">
        <v>485476.59415200003</v>
      </c>
      <c r="H528" s="18">
        <v>415627.53127199999</v>
      </c>
      <c r="I528" s="18">
        <v>2297.1787439999998</v>
      </c>
      <c r="J528" s="18">
        <v>2396.8318079999999</v>
      </c>
      <c r="K528" s="18">
        <v>0</v>
      </c>
      <c r="L528" s="88">
        <f>SUM(F528:K528)</f>
        <v>1964015.2976160001</v>
      </c>
      <c r="M528" s="8"/>
      <c r="N528" s="264"/>
    </row>
    <row r="529" spans="1:14" s="3" customFormat="1" ht="12.2" customHeight="1" thickBot="1" x14ac:dyDescent="0.2">
      <c r="A529" s="22" t="s">
        <v>635</v>
      </c>
      <c r="B529" s="118">
        <v>21</v>
      </c>
      <c r="C529" s="118">
        <v>7</v>
      </c>
      <c r="D529" s="2" t="s">
        <v>432</v>
      </c>
      <c r="E529" s="118"/>
      <c r="F529" s="18">
        <v>1253795.25092</v>
      </c>
      <c r="G529" s="18">
        <v>575201.64125600003</v>
      </c>
      <c r="H529" s="18">
        <v>492443.18061599997</v>
      </c>
      <c r="I529" s="18">
        <v>2721.7398320000002</v>
      </c>
      <c r="J529" s="18">
        <v>2839.8106240000002</v>
      </c>
      <c r="K529" s="18">
        <v>0</v>
      </c>
      <c r="L529" s="88">
        <f>SUM(F529:K529)</f>
        <v>2327001.6232480002</v>
      </c>
      <c r="M529" s="8"/>
      <c r="N529" s="264"/>
    </row>
    <row r="530" spans="1:14" s="3" customFormat="1" ht="12.2" customHeight="1" thickTop="1" x14ac:dyDescent="0.15">
      <c r="A530" s="139" t="s">
        <v>65</v>
      </c>
      <c r="B530" s="107">
        <v>21</v>
      </c>
      <c r="C530" s="107">
        <v>8</v>
      </c>
      <c r="D530" s="158" t="s">
        <v>432</v>
      </c>
      <c r="E530" s="107"/>
      <c r="F530" s="89">
        <f>SUM(F527:F529)</f>
        <v>4365582.3499999996</v>
      </c>
      <c r="G530" s="89">
        <f t="shared" ref="G530:L530" si="37">SUM(G527:G529)</f>
        <v>2002791.23</v>
      </c>
      <c r="H530" s="89">
        <f t="shared" si="37"/>
        <v>1714635.0299999998</v>
      </c>
      <c r="I530" s="89">
        <f t="shared" si="37"/>
        <v>10980.380000000001</v>
      </c>
      <c r="J530" s="89">
        <f t="shared" si="37"/>
        <v>9887.92</v>
      </c>
      <c r="K530" s="89">
        <f t="shared" si="37"/>
        <v>0</v>
      </c>
      <c r="L530" s="89">
        <f t="shared" si="37"/>
        <v>8103876.9100000001</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131888.73398399999</v>
      </c>
      <c r="G532" s="18">
        <v>48712.323744000008</v>
      </c>
      <c r="H532" s="18">
        <v>14386.224383999999</v>
      </c>
      <c r="I532" s="18">
        <v>0</v>
      </c>
      <c r="J532" s="18">
        <v>0</v>
      </c>
      <c r="K532" s="18">
        <v>0</v>
      </c>
      <c r="L532" s="88">
        <f>SUM(F532:K532)</f>
        <v>194987.28211199999</v>
      </c>
      <c r="M532" s="8"/>
      <c r="N532" s="264"/>
    </row>
    <row r="533" spans="1:14" s="3" customFormat="1" ht="12.2" customHeight="1" x14ac:dyDescent="0.15">
      <c r="A533" s="22" t="s">
        <v>634</v>
      </c>
      <c r="B533" s="105">
        <v>21</v>
      </c>
      <c r="C533" s="105">
        <v>10</v>
      </c>
      <c r="D533" s="2" t="s">
        <v>432</v>
      </c>
      <c r="E533" s="105"/>
      <c r="F533" s="18">
        <v>67963.072103999992</v>
      </c>
      <c r="G533" s="18">
        <v>25101.758664000005</v>
      </c>
      <c r="H533" s="18">
        <v>7413.3095039999998</v>
      </c>
      <c r="I533" s="18">
        <v>0</v>
      </c>
      <c r="J533" s="18">
        <v>0</v>
      </c>
      <c r="K533" s="18">
        <v>0</v>
      </c>
      <c r="L533" s="88">
        <f>SUM(F533:K533)</f>
        <v>100478.140272</v>
      </c>
      <c r="M533" s="8"/>
      <c r="N533" s="264"/>
    </row>
    <row r="534" spans="1:14" s="3" customFormat="1" ht="12.2" customHeight="1" thickBot="1" x14ac:dyDescent="0.2">
      <c r="A534" s="22" t="s">
        <v>635</v>
      </c>
      <c r="B534" s="105">
        <v>21</v>
      </c>
      <c r="C534" s="105">
        <v>11</v>
      </c>
      <c r="D534" s="2" t="s">
        <v>432</v>
      </c>
      <c r="E534" s="105"/>
      <c r="F534" s="18">
        <v>80523.903911999994</v>
      </c>
      <c r="G534" s="18">
        <v>29741.027592000006</v>
      </c>
      <c r="H534" s="18">
        <v>8783.4261119999992</v>
      </c>
      <c r="I534" s="18">
        <v>0</v>
      </c>
      <c r="J534" s="18">
        <v>0</v>
      </c>
      <c r="K534" s="18">
        <v>0</v>
      </c>
      <c r="L534" s="88">
        <f>SUM(F534:K534)</f>
        <v>119048.35761600001</v>
      </c>
      <c r="M534" s="8"/>
      <c r="N534" s="264"/>
    </row>
    <row r="535" spans="1:14" s="3" customFormat="1" ht="12.2" customHeight="1" thickTop="1" x14ac:dyDescent="0.15">
      <c r="A535" s="139" t="s">
        <v>67</v>
      </c>
      <c r="B535" s="107">
        <v>21</v>
      </c>
      <c r="C535" s="107">
        <v>12</v>
      </c>
      <c r="D535" s="158" t="s">
        <v>432</v>
      </c>
      <c r="E535" s="107"/>
      <c r="F535" s="89">
        <f>SUM(F532:F534)</f>
        <v>280375.70999999996</v>
      </c>
      <c r="G535" s="89">
        <f t="shared" ref="G535:L535" si="38">SUM(G532:G534)</f>
        <v>103555.11000000002</v>
      </c>
      <c r="H535" s="89">
        <f t="shared" si="38"/>
        <v>30582.959999999999</v>
      </c>
      <c r="I535" s="89">
        <f t="shared" si="38"/>
        <v>0</v>
      </c>
      <c r="J535" s="89">
        <f t="shared" si="38"/>
        <v>0</v>
      </c>
      <c r="K535" s="89">
        <f t="shared" si="38"/>
        <v>0</v>
      </c>
      <c r="L535" s="89">
        <f t="shared" si="38"/>
        <v>414513.77999999997</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1618891.1449769998</v>
      </c>
      <c r="I542" s="18"/>
      <c r="J542" s="18"/>
      <c r="K542" s="18"/>
      <c r="L542" s="88">
        <f>SUM(F542:K542)</f>
        <v>1618891.1449769998</v>
      </c>
      <c r="M542" s="8"/>
      <c r="N542" s="264"/>
    </row>
    <row r="543" spans="1:14" s="3" customFormat="1" ht="12.2" customHeight="1" x14ac:dyDescent="0.15">
      <c r="A543" s="22" t="s">
        <v>634</v>
      </c>
      <c r="B543" s="105">
        <v>21</v>
      </c>
      <c r="C543" s="105">
        <v>18</v>
      </c>
      <c r="D543" s="2" t="s">
        <v>432</v>
      </c>
      <c r="E543" s="105"/>
      <c r="F543" s="18"/>
      <c r="G543" s="18"/>
      <c r="H543" s="18">
        <v>771205.3092299999</v>
      </c>
      <c r="I543" s="18"/>
      <c r="J543" s="18"/>
      <c r="K543" s="18"/>
      <c r="L543" s="88">
        <f>SUM(F543:K543)</f>
        <v>771205.3092299999</v>
      </c>
      <c r="M543" s="8"/>
      <c r="N543" s="264"/>
    </row>
    <row r="544" spans="1:14" s="3" customFormat="1" ht="12.2" customHeight="1" thickBot="1" x14ac:dyDescent="0.2">
      <c r="A544" s="22" t="s">
        <v>635</v>
      </c>
      <c r="B544" s="105">
        <v>21</v>
      </c>
      <c r="C544" s="105">
        <v>19</v>
      </c>
      <c r="D544" s="2" t="s">
        <v>432</v>
      </c>
      <c r="E544" s="105"/>
      <c r="F544" s="18"/>
      <c r="G544" s="18"/>
      <c r="H544" s="18">
        <v>809605.57358999993</v>
      </c>
      <c r="I544" s="18"/>
      <c r="J544" s="18"/>
      <c r="K544" s="18"/>
      <c r="L544" s="88">
        <f>SUM(F544:K544)</f>
        <v>809605.57358999993</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3199702.0277969996</v>
      </c>
      <c r="I545" s="193">
        <f t="shared" si="40"/>
        <v>0</v>
      </c>
      <c r="J545" s="193">
        <f t="shared" si="40"/>
        <v>0</v>
      </c>
      <c r="K545" s="193">
        <f t="shared" si="40"/>
        <v>0</v>
      </c>
      <c r="L545" s="193">
        <f t="shared" si="40"/>
        <v>3199702.0277969996</v>
      </c>
      <c r="M545" s="8"/>
      <c r="N545" s="264"/>
    </row>
    <row r="546" spans="1:14" s="3" customFormat="1" ht="12.2" customHeight="1" thickTop="1" x14ac:dyDescent="0.15">
      <c r="A546" s="98" t="s">
        <v>72</v>
      </c>
      <c r="B546" s="107">
        <v>21</v>
      </c>
      <c r="C546" s="107">
        <v>21</v>
      </c>
      <c r="D546" s="158" t="s">
        <v>432</v>
      </c>
      <c r="E546" s="107"/>
      <c r="F546" s="89">
        <f>F525+F530+F535+F540+F545</f>
        <v>19221870.330000002</v>
      </c>
      <c r="G546" s="89">
        <f t="shared" ref="G546:L546" si="41">G525+G530+G535+G540+G545</f>
        <v>8446036.25</v>
      </c>
      <c r="H546" s="89">
        <f t="shared" si="41"/>
        <v>12158651.947797</v>
      </c>
      <c r="I546" s="89">
        <f t="shared" si="41"/>
        <v>247277.97000000003</v>
      </c>
      <c r="J546" s="89">
        <f t="shared" si="41"/>
        <v>92744.73</v>
      </c>
      <c r="K546" s="89">
        <f t="shared" si="41"/>
        <v>30955</v>
      </c>
      <c r="L546" s="89">
        <f t="shared" si="41"/>
        <v>40197536.227797002</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13144237.094508518</v>
      </c>
      <c r="G550" s="87">
        <f>L527</f>
        <v>3812859.9891360002</v>
      </c>
      <c r="H550" s="87">
        <f>L532</f>
        <v>194987.28211199999</v>
      </c>
      <c r="I550" s="87">
        <f>L537</f>
        <v>0</v>
      </c>
      <c r="J550" s="87">
        <f>L542</f>
        <v>1618891.1449769998</v>
      </c>
      <c r="K550" s="87">
        <f>SUM(F550:J550)</f>
        <v>18770975.510733515</v>
      </c>
      <c r="L550" s="24" t="s">
        <v>288</v>
      </c>
      <c r="M550" s="8"/>
      <c r="N550" s="264"/>
    </row>
    <row r="551" spans="1:14" s="3" customFormat="1" ht="12.2" customHeight="1" x14ac:dyDescent="0.15">
      <c r="A551" s="22" t="s">
        <v>634</v>
      </c>
      <c r="B551" s="75">
        <v>21</v>
      </c>
      <c r="C551" s="75">
        <v>23</v>
      </c>
      <c r="D551" s="2" t="s">
        <v>432</v>
      </c>
      <c r="E551" s="75"/>
      <c r="F551" s="87">
        <f>L523</f>
        <v>6049217.9343582634</v>
      </c>
      <c r="G551" s="87">
        <f>L528</f>
        <v>1964015.2976160001</v>
      </c>
      <c r="H551" s="87">
        <f>L533</f>
        <v>100478.140272</v>
      </c>
      <c r="I551" s="87">
        <f>L538</f>
        <v>0</v>
      </c>
      <c r="J551" s="87">
        <f>L543</f>
        <v>771205.3092299999</v>
      </c>
      <c r="K551" s="87">
        <f>SUM(F551:J551)</f>
        <v>8884916.6814762633</v>
      </c>
      <c r="L551" s="24" t="s">
        <v>288</v>
      </c>
      <c r="M551" s="8"/>
      <c r="N551" s="264"/>
    </row>
    <row r="552" spans="1:14" s="3" customFormat="1" ht="12.2" customHeight="1" thickBot="1" x14ac:dyDescent="0.2">
      <c r="A552" s="22" t="s">
        <v>635</v>
      </c>
      <c r="B552" s="75">
        <v>21</v>
      </c>
      <c r="C552" s="75">
        <v>24</v>
      </c>
      <c r="D552" s="2" t="s">
        <v>432</v>
      </c>
      <c r="E552" s="75"/>
      <c r="F552" s="87">
        <f>L524</f>
        <v>9285988.4811332189</v>
      </c>
      <c r="G552" s="87">
        <f>L529</f>
        <v>2327001.6232480002</v>
      </c>
      <c r="H552" s="87">
        <f>L534</f>
        <v>119048.35761600001</v>
      </c>
      <c r="I552" s="87">
        <f>L539</f>
        <v>0</v>
      </c>
      <c r="J552" s="87">
        <f>L544</f>
        <v>809605.57358999993</v>
      </c>
      <c r="K552" s="87">
        <f>SUM(F552:J552)</f>
        <v>12541644.035587218</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28479443.510000002</v>
      </c>
      <c r="G553" s="89">
        <f t="shared" si="42"/>
        <v>8103876.9100000001</v>
      </c>
      <c r="H553" s="89">
        <f t="shared" si="42"/>
        <v>414513.77999999997</v>
      </c>
      <c r="I553" s="89">
        <f t="shared" si="42"/>
        <v>0</v>
      </c>
      <c r="J553" s="89">
        <f t="shared" si="42"/>
        <v>3199702.0277969996</v>
      </c>
      <c r="K553" s="89">
        <f t="shared" si="42"/>
        <v>40197536.227797002</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1285400.3051249997</v>
      </c>
      <c r="G563" s="18">
        <v>590046.17687500012</v>
      </c>
      <c r="H563" s="18">
        <v>0</v>
      </c>
      <c r="I563" s="18">
        <v>12405.440124999999</v>
      </c>
      <c r="J563" s="18">
        <v>44731.133249999992</v>
      </c>
      <c r="K563" s="18">
        <v>0</v>
      </c>
      <c r="L563" s="88">
        <f>SUM(F563:K563)</f>
        <v>1932583.0553749998</v>
      </c>
      <c r="M563" s="8"/>
      <c r="N563" s="264"/>
    </row>
    <row r="564" spans="1:14" s="3" customFormat="1" ht="12.2" customHeight="1" x14ac:dyDescent="0.15">
      <c r="A564" s="22" t="s">
        <v>634</v>
      </c>
      <c r="B564" s="105">
        <v>22</v>
      </c>
      <c r="C564" s="115">
        <v>6</v>
      </c>
      <c r="D564" s="2" t="s">
        <v>432</v>
      </c>
      <c r="E564" s="115"/>
      <c r="F564" s="18">
        <v>475651.07059700001</v>
      </c>
      <c r="G564" s="18">
        <v>241698.323195</v>
      </c>
      <c r="H564" s="18">
        <v>0</v>
      </c>
      <c r="I564" s="18">
        <v>6286.891196999999</v>
      </c>
      <c r="J564" s="18">
        <v>21968.441441999996</v>
      </c>
      <c r="K564" s="18">
        <v>0</v>
      </c>
      <c r="L564" s="88">
        <f>SUM(F564:K564)</f>
        <v>745604.72643100005</v>
      </c>
      <c r="M564" s="8"/>
      <c r="N564" s="264"/>
    </row>
    <row r="565" spans="1:14" s="3" customFormat="1" ht="12.2" customHeight="1" thickBot="1" x14ac:dyDescent="0.2">
      <c r="A565" s="22" t="s">
        <v>635</v>
      </c>
      <c r="B565" s="105">
        <v>22</v>
      </c>
      <c r="C565" s="118">
        <v>7</v>
      </c>
      <c r="D565" s="2" t="s">
        <v>432</v>
      </c>
      <c r="E565" s="118"/>
      <c r="F565" s="18">
        <v>612752.61427799996</v>
      </c>
      <c r="G565" s="18">
        <v>338065.24992999999</v>
      </c>
      <c r="H565" s="18">
        <v>0</v>
      </c>
      <c r="I565" s="18">
        <v>3616.418678</v>
      </c>
      <c r="J565" s="18">
        <v>20580.685308</v>
      </c>
      <c r="K565" s="18">
        <v>0</v>
      </c>
      <c r="L565" s="88">
        <f>SUM(F565:K565)</f>
        <v>975014.96819399996</v>
      </c>
      <c r="M565" s="8"/>
      <c r="N565" s="264"/>
    </row>
    <row r="566" spans="1:14" s="3" customFormat="1" ht="12.2" customHeight="1" thickTop="1" x14ac:dyDescent="0.15">
      <c r="A566" s="139" t="s">
        <v>65</v>
      </c>
      <c r="B566" s="107">
        <v>22</v>
      </c>
      <c r="C566" s="107">
        <v>8</v>
      </c>
      <c r="D566" s="196" t="s">
        <v>432</v>
      </c>
      <c r="E566" s="107"/>
      <c r="F566" s="89">
        <f t="shared" ref="F566:L566" si="44">SUM(F563:F565)</f>
        <v>2373803.9899999998</v>
      </c>
      <c r="G566" s="89">
        <f t="shared" si="44"/>
        <v>1169809.75</v>
      </c>
      <c r="H566" s="89">
        <f t="shared" si="44"/>
        <v>0</v>
      </c>
      <c r="I566" s="89">
        <f t="shared" si="44"/>
        <v>22308.75</v>
      </c>
      <c r="J566" s="89">
        <f t="shared" si="44"/>
        <v>87280.26</v>
      </c>
      <c r="K566" s="89">
        <f t="shared" si="44"/>
        <v>0</v>
      </c>
      <c r="L566" s="89">
        <f t="shared" si="44"/>
        <v>3653202.7499999995</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2373803.9899999998</v>
      </c>
      <c r="G572" s="89">
        <f t="shared" ref="G572:L572" si="46">G561+G566+G571</f>
        <v>1169809.75</v>
      </c>
      <c r="H572" s="89">
        <f t="shared" si="46"/>
        <v>0</v>
      </c>
      <c r="I572" s="89">
        <f t="shared" si="46"/>
        <v>22308.75</v>
      </c>
      <c r="J572" s="89">
        <f t="shared" si="46"/>
        <v>87280.26</v>
      </c>
      <c r="K572" s="89">
        <f t="shared" si="46"/>
        <v>0</v>
      </c>
      <c r="L572" s="89">
        <f t="shared" si="46"/>
        <v>3653202.7499999995</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53767.26</v>
      </c>
      <c r="G580" s="18">
        <v>88569.98000000001</v>
      </c>
      <c r="H580" s="18">
        <v>587944.12</v>
      </c>
      <c r="I580" s="87">
        <f t="shared" si="47"/>
        <v>730281.36</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519774.83999999997</v>
      </c>
      <c r="G583" s="18">
        <v>1283703.48</v>
      </c>
      <c r="H583" s="18">
        <v>3645223.1920000003</v>
      </c>
      <c r="I583" s="87">
        <f t="shared" si="47"/>
        <v>5448701.5120000001</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v>14389.02</v>
      </c>
      <c r="I585" s="87">
        <f t="shared" si="47"/>
        <v>14389.02</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1109210.258193</v>
      </c>
      <c r="I592" s="18">
        <v>673632.20793999999</v>
      </c>
      <c r="J592" s="18">
        <v>1304421.64607</v>
      </c>
      <c r="K592" s="104">
        <f t="shared" ref="K592:K598" si="48">SUM(H592:J592)</f>
        <v>3087264.1122030001</v>
      </c>
      <c r="L592" s="24" t="s">
        <v>288</v>
      </c>
      <c r="M592" s="8"/>
      <c r="N592" s="264"/>
    </row>
    <row r="593" spans="1:14" s="3" customFormat="1" ht="12.2" customHeight="1" x14ac:dyDescent="0.15">
      <c r="A593" s="3" t="s">
        <v>638</v>
      </c>
      <c r="B593" s="75">
        <v>23</v>
      </c>
      <c r="C593" s="75">
        <v>2</v>
      </c>
      <c r="D593" s="2" t="s">
        <v>432</v>
      </c>
      <c r="E593" s="75"/>
      <c r="F593" s="102">
        <v>2722</v>
      </c>
      <c r="G593" s="103" t="s">
        <v>97</v>
      </c>
      <c r="H593" s="18">
        <v>1618891.1449769998</v>
      </c>
      <c r="I593" s="18">
        <v>771205.3092299999</v>
      </c>
      <c r="J593" s="18">
        <v>809605.57358999993</v>
      </c>
      <c r="K593" s="104">
        <f t="shared" si="48"/>
        <v>3199702.0277969996</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v>0</v>
      </c>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v>11421.74</v>
      </c>
      <c r="J595" s="18">
        <v>60822.85</v>
      </c>
      <c r="K595" s="104">
        <f t="shared" si="48"/>
        <v>72244.59</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2728101.4031699998</v>
      </c>
      <c r="I599" s="108">
        <f>SUM(I592:I598)</f>
        <v>1456259.2571699999</v>
      </c>
      <c r="J599" s="108">
        <f>SUM(J592:J598)</f>
        <v>2174850.06966</v>
      </c>
      <c r="K599" s="108">
        <f>SUM(K592:K598)</f>
        <v>6359210.7299999995</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2413843.3530400004</v>
      </c>
      <c r="I605" s="18">
        <v>1323455.9210400004</v>
      </c>
      <c r="J605" s="18">
        <v>2269683.8059200002</v>
      </c>
      <c r="K605" s="104">
        <f>SUM(H605:J605)</f>
        <v>6006983.080000001</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2413843.3530400004</v>
      </c>
      <c r="I606" s="108">
        <f>SUM(I603:I605)</f>
        <v>1323455.9210400004</v>
      </c>
      <c r="J606" s="108">
        <f>SUM(J603:J605)</f>
        <v>2269683.8059200002</v>
      </c>
      <c r="K606" s="108">
        <f>SUM(K603:K605)</f>
        <v>6006983.080000001</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v>122343.6</v>
      </c>
      <c r="G612" s="18">
        <v>5968.0348799999992</v>
      </c>
      <c r="H612" s="18">
        <v>109002.76</v>
      </c>
      <c r="I612" s="18">
        <v>42954.414959999995</v>
      </c>
      <c r="J612" s="18">
        <v>0</v>
      </c>
      <c r="K612" s="18">
        <v>0</v>
      </c>
      <c r="L612" s="88">
        <f>SUM(F612:K612)</f>
        <v>280268.80984</v>
      </c>
      <c r="M612" s="8"/>
      <c r="N612" s="264"/>
    </row>
    <row r="613" spans="1:14" s="3" customFormat="1" ht="12.2" customHeight="1" x14ac:dyDescent="0.15">
      <c r="A613" s="22" t="s">
        <v>634</v>
      </c>
      <c r="B613" s="75">
        <v>23</v>
      </c>
      <c r="C613" s="75">
        <v>14</v>
      </c>
      <c r="D613" s="2" t="s">
        <v>432</v>
      </c>
      <c r="E613" s="75"/>
      <c r="F613" s="18">
        <v>8918.15</v>
      </c>
      <c r="G613" s="18">
        <v>154.61701999999994</v>
      </c>
      <c r="H613" s="18">
        <v>346</v>
      </c>
      <c r="I613" s="18">
        <v>2355.1060899999993</v>
      </c>
      <c r="J613" s="18">
        <v>0</v>
      </c>
      <c r="K613" s="18">
        <v>0</v>
      </c>
      <c r="L613" s="88">
        <f>SUM(F613:K613)</f>
        <v>11773.873109999999</v>
      </c>
      <c r="M613" s="8"/>
      <c r="N613" s="264"/>
    </row>
    <row r="614" spans="1:14" s="3" customFormat="1" ht="12.2" customHeight="1" thickBot="1" x14ac:dyDescent="0.2">
      <c r="A614" s="22" t="s">
        <v>645</v>
      </c>
      <c r="B614" s="75">
        <v>23</v>
      </c>
      <c r="C614" s="75">
        <v>15</v>
      </c>
      <c r="D614" s="2" t="s">
        <v>432</v>
      </c>
      <c r="E614" s="75"/>
      <c r="F614" s="18">
        <v>16238.25</v>
      </c>
      <c r="G614" s="18">
        <v>281.52809999999988</v>
      </c>
      <c r="H614" s="18">
        <v>630</v>
      </c>
      <c r="I614" s="18">
        <v>4288.1989499999991</v>
      </c>
      <c r="J614" s="18">
        <v>0</v>
      </c>
      <c r="K614" s="18">
        <v>0</v>
      </c>
      <c r="L614" s="88">
        <f>SUM(F614:K614)</f>
        <v>21437.977049999998</v>
      </c>
      <c r="M614" s="8"/>
      <c r="N614" s="264"/>
    </row>
    <row r="615" spans="1:14" s="3" customFormat="1" ht="12.2" customHeight="1" thickTop="1" x14ac:dyDescent="0.15">
      <c r="A615" s="98" t="s">
        <v>340</v>
      </c>
      <c r="B615" s="107">
        <v>23</v>
      </c>
      <c r="C615" s="107">
        <v>16</v>
      </c>
      <c r="D615" s="39" t="s">
        <v>432</v>
      </c>
      <c r="E615" s="107"/>
      <c r="F615" s="108">
        <f t="shared" ref="F615:L615" si="49">SUM(F612:F614)</f>
        <v>147500</v>
      </c>
      <c r="G615" s="108">
        <f t="shared" si="49"/>
        <v>6404.1799999999985</v>
      </c>
      <c r="H615" s="108">
        <f t="shared" si="49"/>
        <v>109978.76</v>
      </c>
      <c r="I615" s="108">
        <f t="shared" si="49"/>
        <v>49597.719999999994</v>
      </c>
      <c r="J615" s="108">
        <f t="shared" si="49"/>
        <v>0</v>
      </c>
      <c r="K615" s="108">
        <f t="shared" si="49"/>
        <v>0</v>
      </c>
      <c r="L615" s="89">
        <f t="shared" si="49"/>
        <v>313480.65999999997</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0</v>
      </c>
      <c r="H618" s="109">
        <f>SUM(F52)</f>
        <v>0</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233372.95</v>
      </c>
      <c r="H619" s="109">
        <f>SUM(G52)</f>
        <v>233372.95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4115152.43</v>
      </c>
      <c r="H620" s="109">
        <f>SUM(H52)</f>
        <v>4115152.4299999997</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10298081.719999999</v>
      </c>
      <c r="H622" s="109">
        <f>SUM(J52)</f>
        <v>10298081.720000001</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0</v>
      </c>
      <c r="H623" s="109">
        <f>F477</f>
        <v>0</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232552.45</v>
      </c>
      <c r="H624" s="109">
        <f>G477</f>
        <v>232552.45000000019</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2035547.06</v>
      </c>
      <c r="H625" s="109">
        <f>H477</f>
        <v>2035547.0600000005</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-8195488.9100000001</v>
      </c>
      <c r="H626" s="109">
        <f>I477</f>
        <v>-8195488.9100000001</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10143365.030000001</v>
      </c>
      <c r="H627" s="109">
        <f>J477</f>
        <v>10143365.030000001</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165217028.47999999</v>
      </c>
      <c r="H628" s="104">
        <f>SUM(F469)</f>
        <v>165217028.47999999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2905898.7199999997</v>
      </c>
      <c r="H629" s="104">
        <f>SUM(G469)</f>
        <v>2905898.72</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15778130.989999998</v>
      </c>
      <c r="H630" s="104">
        <f>SUM(H469)</f>
        <v>15778130.99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6400000</v>
      </c>
      <c r="H631" s="104">
        <f>SUM(I469)</f>
        <v>6400000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1665048.1300000001</v>
      </c>
      <c r="H632" s="104">
        <f>SUM(J469)</f>
        <v>1665048.13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165217028.47999999</v>
      </c>
      <c r="H633" s="104">
        <f>SUM(F473)</f>
        <v>165217028.47999999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15794150.809999999</v>
      </c>
      <c r="H634" s="104">
        <f>SUM(H473)</f>
        <v>15794150.810000001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688462.60000000009</v>
      </c>
      <c r="H635" s="104">
        <f>I370</f>
        <v>688462.59999999986</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2925245.06</v>
      </c>
      <c r="H636" s="104">
        <f>SUM(G473)</f>
        <v>2925245.06</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15490157.98</v>
      </c>
      <c r="H637" s="104">
        <f>SUM(I473)</f>
        <v>15490157.98</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1665048.13</v>
      </c>
      <c r="H638" s="164">
        <f>SUM(J469)</f>
        <v>1665048.13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447012.75</v>
      </c>
      <c r="H639" s="164">
        <f>SUM(J473)</f>
        <v>447012.75</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1055201.3500000001</v>
      </c>
      <c r="H640" s="104">
        <f>SUM(F462)</f>
        <v>1055201.3500000001</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1046023.8999999999</v>
      </c>
      <c r="H641" s="104">
        <f>SUM(G462)</f>
        <v>1046023.9</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8196856.4699999997</v>
      </c>
      <c r="H642" s="104">
        <f>SUM(H462)</f>
        <v>8196856.4700000007</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10298081.719999999</v>
      </c>
      <c r="H643" s="104">
        <f>SUM(I462)</f>
        <v>10298081.720000001</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1388280.08</v>
      </c>
      <c r="H645" s="104">
        <f>H409</f>
        <v>1388280.0799999998</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38509.550000000003</v>
      </c>
      <c r="H646" s="104">
        <f>G409</f>
        <v>38509.550000000003</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1665048.1300000001</v>
      </c>
      <c r="H647" s="104">
        <f>L409</f>
        <v>1665048.13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6359210.7299999995</v>
      </c>
      <c r="H648" s="104">
        <f>L209+L227+L245</f>
        <v>6359210.7300000004</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6006983.080000001</v>
      </c>
      <c r="H649" s="104">
        <f>(J258+J339)-(J256+J337)</f>
        <v>6006983.0800000001</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2728101.4031699998</v>
      </c>
      <c r="H650" s="104">
        <f>H599</f>
        <v>2728101.4031699998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1456259.2571699999</v>
      </c>
      <c r="H651" s="104">
        <f>I599</f>
        <v>1456259.2571699999</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2174850.06966</v>
      </c>
      <c r="H652" s="104">
        <f>J599</f>
        <v>2174850.06966</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38509.550000000003</v>
      </c>
      <c r="H656" s="104">
        <f>K267+K348</f>
        <v>38509.550000000003</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80846005.850426614</v>
      </c>
      <c r="G661" s="19">
        <f>(L230+L310+L360)</f>
        <v>38702539.708317995</v>
      </c>
      <c r="H661" s="19">
        <f>(L248+L329+L361)</f>
        <v>54324884.341255404</v>
      </c>
      <c r="I661" s="19">
        <f>SUM(F661:H661)</f>
        <v>173873429.90000001</v>
      </c>
      <c r="J661" s="13"/>
      <c r="K661" s="13"/>
      <c r="L661" s="13"/>
      <c r="M661" s="9"/>
    </row>
    <row r="662" spans="1:13" s="3" customFormat="1" ht="12.2" customHeight="1" x14ac:dyDescent="0.2">
      <c r="A662" s="1" t="s">
        <v>127</v>
      </c>
      <c r="F662" s="19">
        <f>(L359/IF(SUM(L359:L361)=0,1,SUM(L359:L361))*(SUM(G97:G110)))</f>
        <v>22940.402734415267</v>
      </c>
      <c r="G662" s="19">
        <f>(L360/IF(SUM(L359:L361)=0,1,SUM(L359:L361))*(SUM(G97:G110)))</f>
        <v>9955.3856288065181</v>
      </c>
      <c r="H662" s="19">
        <f>(L361/IF(SUM(L359:L361)=0,1,SUM(L359:L361))*(SUM(G97:G110)))</f>
        <v>15419.461636778213</v>
      </c>
      <c r="I662" s="19">
        <f>SUM(F662:H662)</f>
        <v>48315.25</v>
      </c>
      <c r="J662"/>
      <c r="K662" s="13"/>
      <c r="L662" s="13"/>
      <c r="M662" s="8"/>
    </row>
    <row r="663" spans="1:13" s="3" customFormat="1" ht="12.2" customHeight="1" x14ac:dyDescent="0.2">
      <c r="A663" s="1" t="s">
        <v>128</v>
      </c>
      <c r="F663" s="19">
        <f>(L209+L288)-(J209+J288)</f>
        <v>2760999.2388998996</v>
      </c>
      <c r="G663" s="19">
        <f>(L227+L307)-(J227+J307)</f>
        <v>1472834.7232469998</v>
      </c>
      <c r="H663" s="19">
        <f>(L245+L326)-(J245+J326)</f>
        <v>2192470.0978530999</v>
      </c>
      <c r="I663" s="19">
        <f>SUM(F663:H663)</f>
        <v>6426304.0599999996</v>
      </c>
      <c r="J663"/>
      <c r="K663" s="13"/>
      <c r="L663" s="13"/>
      <c r="M663" s="9"/>
    </row>
    <row r="664" spans="1:13" s="3" customFormat="1" ht="12.2" customHeight="1" x14ac:dyDescent="0.15">
      <c r="A664" s="198" t="s">
        <v>129</v>
      </c>
      <c r="B664" s="169"/>
      <c r="C664" s="169"/>
      <c r="D664" s="169"/>
      <c r="E664" s="169"/>
      <c r="F664" s="199">
        <f>SUM(F576:F588)+SUM(H603:H605)+SUM(L612)</f>
        <v>3267654.2628800003</v>
      </c>
      <c r="G664" s="199">
        <f>SUM(G576:G588)+SUM(I603:I605)+L613</f>
        <v>2707503.2541500004</v>
      </c>
      <c r="H664" s="199">
        <f>SUM(H576:H588)+SUM(J603:J605)+L614</f>
        <v>6538678.1149699995</v>
      </c>
      <c r="I664" s="19">
        <f>SUM(F664:H664)</f>
        <v>12513835.631999999</v>
      </c>
      <c r="J664" s="13"/>
      <c r="K664" s="13"/>
      <c r="L664" s="13"/>
      <c r="M664" s="9"/>
    </row>
    <row r="665" spans="1:13" s="3" customFormat="1" ht="12.2" customHeight="1" x14ac:dyDescent="0.15">
      <c r="A665" s="1" t="s">
        <v>130</v>
      </c>
      <c r="F665" s="19">
        <f>F661-SUM(F662:F664)</f>
        <v>74794411.945912302</v>
      </c>
      <c r="G665" s="19">
        <f>G661-SUM(G662:G664)</f>
        <v>34512246.345292188</v>
      </c>
      <c r="H665" s="19">
        <f>H661-SUM(H662:H664)</f>
        <v>45578316.666795522</v>
      </c>
      <c r="I665" s="19">
        <f>I661-SUM(I662:I664)</f>
        <v>154884974.958</v>
      </c>
      <c r="J665" s="13"/>
      <c r="K665" s="13"/>
      <c r="L665" s="13"/>
      <c r="M665" s="8"/>
    </row>
    <row r="666" spans="1:13" s="3" customFormat="1" ht="12.2" customHeight="1" x14ac:dyDescent="0.25">
      <c r="A666" s="1" t="s">
        <v>131</v>
      </c>
      <c r="F666" s="359">
        <v>4365.3900000000003</v>
      </c>
      <c r="G666" s="359">
        <v>2313.6799999999998</v>
      </c>
      <c r="H666" s="359">
        <v>3401.43</v>
      </c>
      <c r="I666" s="19">
        <f>SUM(F666:H666)</f>
        <v>10080.5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17133.5</v>
      </c>
      <c r="G668" s="19">
        <f>ROUND(G665/G666,2)</f>
        <v>14916.6</v>
      </c>
      <c r="H668" s="19">
        <f>ROUND(H665/H666,2)</f>
        <v>13399.75</v>
      </c>
      <c r="I668" s="19">
        <f>ROUND(I665/I666,2)</f>
        <v>15364.81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13.99</v>
      </c>
      <c r="I671" s="19">
        <f>SUM(F671:H671)</f>
        <v>13.99</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17133.5</v>
      </c>
      <c r="G673" s="19">
        <f>ROUND((G665+G670)/(G666+G671),2)</f>
        <v>14916.6</v>
      </c>
      <c r="H673" s="19">
        <f>ROUND((H665+H670)/(H666+H671),2)</f>
        <v>13344.86</v>
      </c>
      <c r="I673" s="19">
        <f>ROUND((I665+I670)/(I666+I671),2)</f>
        <v>15343.52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V382M44l62w3I4/hUMynvwzoHbdzZB3QnL6cWPtGRAftHM9lPfiVyhqXCkca2S2pwsjMx19QSeqEHAKc+Gs8Q==" saltValue="WGNSB/2P2yAlc3hM7G4YAQ==" spinCount="100000" sheet="1" objects="1" scenarios="1"/>
  <dataConsolidate>
    <dataRefs count="1">
      <dataRef ref="F9:L673" sheet="DOE25" r:id="rId1"/>
    </dataRefs>
  </dataConsolidate>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2"/>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4" zoomScaleNormal="100" workbookViewId="0">
      <selection activeCell="G26" sqref="G26"/>
    </sheetView>
  </sheetViews>
  <sheetFormatPr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t="e">
        <f>'DOE25'!F162+'DOE25'!G162+'DOE25'!H162</f>
        <v>#VALUE!</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2156400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f>724470.02+925559.11</f>
        <v>1650029.13</v>
      </c>
      <c r="F22" s="346"/>
    </row>
    <row r="23" spans="2:8" x14ac:dyDescent="0.25">
      <c r="B23" s="346"/>
      <c r="C23" s="346"/>
      <c r="D23" s="346"/>
      <c r="E23" s="346"/>
      <c r="F23" s="346"/>
    </row>
    <row r="24" spans="2:8" ht="26.25" customHeight="1" x14ac:dyDescent="0.25">
      <c r="B24" s="346"/>
      <c r="C24" s="348" t="s">
        <v>1661</v>
      </c>
      <c r="D24" s="346"/>
      <c r="E24" s="341">
        <f>209939.24+55726.56</f>
        <v>265665.8</v>
      </c>
      <c r="F24" s="346"/>
    </row>
    <row r="25" spans="2:8" ht="18" x14ac:dyDescent="0.25">
      <c r="B25" s="346"/>
      <c r="C25" s="349"/>
      <c r="D25" s="346"/>
      <c r="E25" s="346"/>
      <c r="F25" s="346"/>
    </row>
    <row r="26" spans="2:8" ht="27.75" customHeight="1" x14ac:dyDescent="0.25">
      <c r="B26" s="346"/>
      <c r="C26" s="348" t="s">
        <v>1662</v>
      </c>
      <c r="D26" s="346"/>
      <c r="E26" s="341">
        <f>514530.78+828202.5</f>
        <v>1342733.28</v>
      </c>
      <c r="F26" s="346"/>
    </row>
    <row r="27" spans="2:8" x14ac:dyDescent="0.25">
      <c r="B27" s="346"/>
      <c r="C27" s="348"/>
      <c r="D27" s="346"/>
      <c r="E27" s="346"/>
      <c r="F27" s="346"/>
    </row>
    <row r="28" spans="2:8" ht="15.75" customHeight="1" x14ac:dyDescent="0.25">
      <c r="B28" s="346"/>
      <c r="C28" s="348" t="s">
        <v>1663</v>
      </c>
      <c r="D28" s="346"/>
      <c r="E28" s="342">
        <f>24312.27+203705.82</f>
        <v>228018.09</v>
      </c>
      <c r="F28" s="346"/>
    </row>
    <row r="29" spans="2:8" x14ac:dyDescent="0.25">
      <c r="B29" s="346"/>
      <c r="C29" s="346"/>
      <c r="D29" s="346"/>
      <c r="E29" s="346"/>
      <c r="F29" s="346"/>
    </row>
    <row r="30" spans="2:8" ht="16.5" customHeight="1" x14ac:dyDescent="0.25">
      <c r="B30" s="346"/>
      <c r="C30" s="348" t="s">
        <v>1664</v>
      </c>
      <c r="D30" s="346"/>
      <c r="E30" s="341">
        <f>1696586.16+1027135.07</f>
        <v>2723721.23</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3"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2" t="str">
        <f>'DOE25'!A2</f>
        <v>Nashua</v>
      </c>
      <c r="C5" s="363"/>
      <c r="D5" s="363"/>
      <c r="E5" s="363"/>
      <c r="F5" s="363"/>
    </row>
    <row r="8" spans="1:9" ht="18" x14ac:dyDescent="0.25">
      <c r="A8" s="317" t="s">
        <v>1576</v>
      </c>
      <c r="F8" s="324" t="s">
        <v>1594</v>
      </c>
    </row>
    <row r="9" spans="1:9" ht="15" x14ac:dyDescent="0.2">
      <c r="A9" s="315" t="s">
        <v>1577</v>
      </c>
      <c r="B9" s="318">
        <f>'DOE25'!G97</f>
        <v>8159.25</v>
      </c>
      <c r="F9" s="315" t="s">
        <v>1590</v>
      </c>
    </row>
    <row r="10" spans="1:9" ht="15" x14ac:dyDescent="0.2">
      <c r="A10" s="315" t="s">
        <v>1578</v>
      </c>
      <c r="B10" s="318">
        <f>'DOE25'!G112-'DOE25'!G97</f>
        <v>40171.18</v>
      </c>
      <c r="F10" s="315" t="s">
        <v>1591</v>
      </c>
    </row>
    <row r="11" spans="1:9" ht="15" x14ac:dyDescent="0.2">
      <c r="A11" s="315" t="s">
        <v>1579</v>
      </c>
      <c r="B11" s="318">
        <f>'DOE25'!G140</f>
        <v>68079.070000000007</v>
      </c>
      <c r="F11" s="315" t="s">
        <v>1592</v>
      </c>
    </row>
    <row r="12" spans="1:9" ht="15" x14ac:dyDescent="0.2">
      <c r="A12" s="315" t="s">
        <v>1580</v>
      </c>
      <c r="B12" s="318">
        <f>'DOE25'!G170</f>
        <v>2789489.2199999997</v>
      </c>
      <c r="F12" s="315" t="s">
        <v>1593</v>
      </c>
    </row>
    <row r="13" spans="1:9" ht="15" x14ac:dyDescent="0.2">
      <c r="A13" s="315" t="s">
        <v>1581</v>
      </c>
      <c r="B13" s="318">
        <f>'DOE25'!G193-'DOE25'!G180</f>
        <v>0</v>
      </c>
      <c r="F13" s="315" t="s">
        <v>1603</v>
      </c>
    </row>
    <row r="14" spans="1:9" ht="18" x14ac:dyDescent="0.25">
      <c r="A14" s="317" t="s">
        <v>732</v>
      </c>
      <c r="B14" s="319">
        <f>SUM(B9:B13)</f>
        <v>2905898.7199999997</v>
      </c>
    </row>
    <row r="16" spans="1:9" ht="18" x14ac:dyDescent="0.25">
      <c r="A16" s="317" t="s">
        <v>786</v>
      </c>
      <c r="F16" s="324" t="s">
        <v>1595</v>
      </c>
    </row>
    <row r="17" spans="1:6" ht="15" x14ac:dyDescent="0.2">
      <c r="A17" s="315" t="s">
        <v>1582</v>
      </c>
      <c r="B17" s="318">
        <f>'DOE25'!L363-'DOE25'!L362</f>
        <v>2925245.06</v>
      </c>
      <c r="F17" s="315" t="s">
        <v>1596</v>
      </c>
    </row>
    <row r="18" spans="1:6" ht="15" x14ac:dyDescent="0.2">
      <c r="A18" s="315" t="s">
        <v>1583</v>
      </c>
      <c r="B18" s="328"/>
      <c r="F18" s="324" t="s">
        <v>1620</v>
      </c>
    </row>
    <row r="19" spans="1:6" ht="18" x14ac:dyDescent="0.25">
      <c r="A19" s="317" t="s">
        <v>725</v>
      </c>
      <c r="B19" s="319">
        <f>SUM(B17:B18)</f>
        <v>2925245.06</v>
      </c>
    </row>
    <row r="21" spans="1:6" ht="18.75" thickBot="1" x14ac:dyDescent="0.3">
      <c r="A21" s="317" t="s">
        <v>1584</v>
      </c>
    </row>
    <row r="22" spans="1:6" ht="18.75" thickTop="1" x14ac:dyDescent="0.25">
      <c r="A22" s="317" t="s">
        <v>1585</v>
      </c>
      <c r="B22" s="323">
        <f>B14-B19</f>
        <v>-19346.340000000317</v>
      </c>
      <c r="F22" s="315" t="s">
        <v>1597</v>
      </c>
    </row>
    <row r="26" spans="1:6" ht="18" x14ac:dyDescent="0.25">
      <c r="A26" s="317" t="s">
        <v>186</v>
      </c>
    </row>
    <row r="27" spans="1:6" ht="15" x14ac:dyDescent="0.2">
      <c r="A27" s="315" t="s">
        <v>1586</v>
      </c>
      <c r="B27" s="318">
        <f>'DOE25'!G180</f>
        <v>0</v>
      </c>
      <c r="F27" s="315" t="s">
        <v>1598</v>
      </c>
    </row>
    <row r="28" spans="1:6" ht="15" x14ac:dyDescent="0.2">
      <c r="A28" s="315" t="s">
        <v>1588</v>
      </c>
      <c r="B28" s="318">
        <f>'DOE25'!L362</f>
        <v>0</v>
      </c>
      <c r="F28" s="315" t="s">
        <v>1599</v>
      </c>
    </row>
    <row r="31" spans="1:6" ht="15" x14ac:dyDescent="0.2">
      <c r="A31" s="315" t="s">
        <v>1628</v>
      </c>
      <c r="B31" s="318">
        <f>'DOE25'!G466</f>
        <v>251898.79</v>
      </c>
      <c r="F31" s="315" t="s">
        <v>1600</v>
      </c>
    </row>
    <row r="33" spans="1:6" ht="15" x14ac:dyDescent="0.2">
      <c r="A33" s="315" t="s">
        <v>1629</v>
      </c>
      <c r="B33" s="318">
        <f>'DOE25'!G477</f>
        <v>232552.45000000019</v>
      </c>
      <c r="F33" s="315" t="s">
        <v>1601</v>
      </c>
    </row>
    <row r="36" spans="1:6" ht="15" x14ac:dyDescent="0.2">
      <c r="A36" s="315" t="s">
        <v>1587</v>
      </c>
      <c r="B36" s="329">
        <v>151657.87</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37" sqref="C37"/>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Nashua</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42191752.079999998</v>
      </c>
      <c r="C9" s="229">
        <f>'DOE25'!G198+'DOE25'!G216+'DOE25'!G234+'DOE25'!G277+'DOE25'!G296+'DOE25'!G315</f>
        <v>21136558.929999996</v>
      </c>
    </row>
    <row r="10" spans="1:3" x14ac:dyDescent="0.2">
      <c r="A10" t="s">
        <v>775</v>
      </c>
      <c r="B10" s="240">
        <v>40855110.68</v>
      </c>
      <c r="C10" s="240">
        <v>20466949.390000001</v>
      </c>
    </row>
    <row r="11" spans="1:3" x14ac:dyDescent="0.2">
      <c r="A11" t="s">
        <v>776</v>
      </c>
      <c r="B11" s="240">
        <v>1070479.93</v>
      </c>
      <c r="C11" s="240">
        <v>536272.16</v>
      </c>
    </row>
    <row r="12" spans="1:3" x14ac:dyDescent="0.2">
      <c r="A12" t="s">
        <v>777</v>
      </c>
      <c r="B12" s="240">
        <v>266161.46999999997</v>
      </c>
      <c r="C12" s="240">
        <v>133337.38</v>
      </c>
    </row>
    <row r="13" spans="1:3" x14ac:dyDescent="0.2">
      <c r="A13" t="str">
        <f>IF(B9=B13,IF(C9=C13,"Check Total OK","Check Total Error"),"Check Total Error")</f>
        <v>Check Total OK</v>
      </c>
      <c r="B13" s="231">
        <f>SUM(B10:B12)</f>
        <v>42191752.079999998</v>
      </c>
      <c r="C13" s="231">
        <f>SUM(C10:C12)</f>
        <v>21136558.93</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17790023.020000003</v>
      </c>
      <c r="C18" s="229">
        <f>'DOE25'!G199+'DOE25'!G217+'DOE25'!G235+'DOE25'!G278+'DOE25'!G297+'DOE25'!G316</f>
        <v>7722931.0999999996</v>
      </c>
    </row>
    <row r="19" spans="1:3" x14ac:dyDescent="0.2">
      <c r="A19" t="s">
        <v>775</v>
      </c>
      <c r="B19" s="240">
        <v>10671543.029999999</v>
      </c>
      <c r="C19" s="240">
        <v>4632686.0599999996</v>
      </c>
    </row>
    <row r="20" spans="1:3" x14ac:dyDescent="0.2">
      <c r="A20" t="s">
        <v>776</v>
      </c>
      <c r="B20" s="240">
        <v>6247377.46</v>
      </c>
      <c r="C20" s="240">
        <v>2712085.62</v>
      </c>
    </row>
    <row r="21" spans="1:3" x14ac:dyDescent="0.2">
      <c r="A21" t="s">
        <v>777</v>
      </c>
      <c r="B21" s="240">
        <v>871102.53</v>
      </c>
      <c r="C21" s="240">
        <v>378159.42</v>
      </c>
    </row>
    <row r="22" spans="1:3" x14ac:dyDescent="0.2">
      <c r="A22" t="str">
        <f>IF(B18=B22,IF(C18=C22,"Check Total OK","Check Total Error"),"Check Total Error")</f>
        <v>Check Total OK</v>
      </c>
      <c r="B22" s="231">
        <f>SUM(B19:B21)</f>
        <v>17790023.02</v>
      </c>
      <c r="C22" s="231">
        <f>SUM(C19:C21)</f>
        <v>7722931.0999999996</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3483452.42</v>
      </c>
      <c r="C27" s="234">
        <f>'DOE25'!G200+'DOE25'!G218+'DOE25'!G236+'DOE25'!G279+'DOE25'!G298+'DOE25'!G317</f>
        <v>1741449.3599999999</v>
      </c>
    </row>
    <row r="28" spans="1:3" x14ac:dyDescent="0.2">
      <c r="A28" t="s">
        <v>775</v>
      </c>
      <c r="B28" s="240">
        <v>3286843.27</v>
      </c>
      <c r="C28" s="240">
        <v>1643160.41</v>
      </c>
    </row>
    <row r="29" spans="1:3" x14ac:dyDescent="0.2">
      <c r="A29" t="s">
        <v>776</v>
      </c>
      <c r="B29" s="240">
        <v>58398.67</v>
      </c>
      <c r="C29" s="240">
        <v>29194.69</v>
      </c>
    </row>
    <row r="30" spans="1:3" x14ac:dyDescent="0.2">
      <c r="A30" t="s">
        <v>777</v>
      </c>
      <c r="B30" s="240">
        <v>138210.48000000001</v>
      </c>
      <c r="C30" s="240">
        <v>69094.259999999995</v>
      </c>
    </row>
    <row r="31" spans="1:3" x14ac:dyDescent="0.2">
      <c r="A31" t="str">
        <f>IF(B27=B31,IF(C27=C31,"Check Total OK","Check Total Error"),"Check Total Error")</f>
        <v>Check Total OK</v>
      </c>
      <c r="B31" s="231">
        <f>SUM(B28:B30)</f>
        <v>3483452.42</v>
      </c>
      <c r="C31" s="231">
        <f>SUM(C28:C30)</f>
        <v>1741449.3599999999</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930256.78</v>
      </c>
      <c r="C36" s="235">
        <f>'DOE25'!G201+'DOE25'!G219+'DOE25'!G237+'DOE25'!G280+'DOE25'!G299+'DOE25'!G318</f>
        <v>166232.79999999999</v>
      </c>
    </row>
    <row r="37" spans="1:3" x14ac:dyDescent="0.2">
      <c r="A37" t="s">
        <v>775</v>
      </c>
      <c r="B37" s="240">
        <v>366404.84</v>
      </c>
      <c r="C37" s="240">
        <v>65474.920000000006</v>
      </c>
    </row>
    <row r="38" spans="1:3" x14ac:dyDescent="0.2">
      <c r="A38" t="s">
        <v>776</v>
      </c>
      <c r="B38" s="240">
        <v>10300.790000000001</v>
      </c>
      <c r="C38" s="240">
        <v>1840.71</v>
      </c>
    </row>
    <row r="39" spans="1:3" x14ac:dyDescent="0.2">
      <c r="A39" t="s">
        <v>777</v>
      </c>
      <c r="B39" s="240">
        <v>553551.15</v>
      </c>
      <c r="C39" s="240">
        <v>98917.17</v>
      </c>
    </row>
    <row r="40" spans="1:3" x14ac:dyDescent="0.2">
      <c r="A40" t="str">
        <f>IF(B36=B40,IF(C36=C40,"Check Total OK","Check Total Error"),"Check Total Error")</f>
        <v>Check Total OK</v>
      </c>
      <c r="B40" s="231">
        <f>SUM(B37:B39)</f>
        <v>930256.78</v>
      </c>
      <c r="C40" s="231">
        <f>SUM(C37:C39)</f>
        <v>166232.79999999999</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E10" sqref="E1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1"/>
    </row>
    <row r="2" spans="1:9" x14ac:dyDescent="0.2">
      <c r="A2" s="33" t="s">
        <v>713</v>
      </c>
      <c r="B2" s="258" t="str">
        <f>'DOE25'!A2</f>
        <v>Nashua</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98241930.229999989</v>
      </c>
      <c r="D5" s="20">
        <f>SUM('DOE25'!L198:L201)+SUM('DOE25'!L216:L219)+SUM('DOE25'!L234:L237)-F5-G5-H5</f>
        <v>96958475.079999983</v>
      </c>
      <c r="E5" s="243"/>
      <c r="F5" s="244">
        <v>771857.4</v>
      </c>
      <c r="G5" s="53">
        <f>SUM('DOE25'!J198:J201)+SUM('DOE25'!J216:J219)+SUM('DOE25'!J234:J237)</f>
        <v>628872.12</v>
      </c>
      <c r="H5" s="53">
        <f>SUM('DOE25'!K198:K201)+SUM('DOE25'!K216:K219)+SUM('DOE25'!K234:K237)</f>
        <v>-117274.37</v>
      </c>
      <c r="I5" s="254"/>
    </row>
    <row r="6" spans="1:9" x14ac:dyDescent="0.2">
      <c r="A6" s="32">
        <v>2100</v>
      </c>
      <c r="B6" t="s">
        <v>796</v>
      </c>
      <c r="C6" s="273">
        <f t="shared" si="0"/>
        <v>15388618.050000001</v>
      </c>
      <c r="D6" s="20">
        <f>'DOE25'!L203+'DOE25'!L221+'DOE25'!L239-F6-G6-H6</f>
        <v>14468692.65</v>
      </c>
      <c r="E6" s="243"/>
      <c r="F6" s="244">
        <v>909553.5</v>
      </c>
      <c r="G6" s="53">
        <f>'DOE25'!J203+'DOE25'!J221+'DOE25'!J239</f>
        <v>10371.9</v>
      </c>
      <c r="H6" s="53">
        <f>'DOE25'!K203+'DOE25'!K221+'DOE25'!K239</f>
        <v>0</v>
      </c>
      <c r="I6" s="254"/>
    </row>
    <row r="7" spans="1:9" x14ac:dyDescent="0.2">
      <c r="A7" s="32">
        <v>2200</v>
      </c>
      <c r="B7" t="s">
        <v>821</v>
      </c>
      <c r="C7" s="273">
        <f t="shared" si="0"/>
        <v>6214204.3599999994</v>
      </c>
      <c r="D7" s="20">
        <f>'DOE25'!L204+'DOE25'!L222+'DOE25'!L240-F7-G7-H7</f>
        <v>4012176.1499999994</v>
      </c>
      <c r="E7" s="243"/>
      <c r="F7" s="244">
        <v>1046081.28</v>
      </c>
      <c r="G7" s="53">
        <f>'DOE25'!J204+'DOE25'!J222+'DOE25'!J240</f>
        <v>1155946.93</v>
      </c>
      <c r="H7" s="53">
        <f>'DOE25'!K204+'DOE25'!K222+'DOE25'!K240</f>
        <v>0</v>
      </c>
      <c r="I7" s="254"/>
    </row>
    <row r="8" spans="1:9" x14ac:dyDescent="0.2">
      <c r="A8" s="32">
        <v>2300</v>
      </c>
      <c r="B8" t="s">
        <v>797</v>
      </c>
      <c r="C8" s="273">
        <f t="shared" si="0"/>
        <v>3272214.4399999995</v>
      </c>
      <c r="D8" s="243"/>
      <c r="E8" s="20">
        <f>'DOE25'!L205+'DOE25'!L223+'DOE25'!L241-F8-G8-H8-D9-D11</f>
        <v>2440229.61</v>
      </c>
      <c r="F8" s="244">
        <v>412882.92000000004</v>
      </c>
      <c r="G8" s="53">
        <f>'DOE25'!J205+'DOE25'!J223+'DOE25'!J241</f>
        <v>68697.649999999994</v>
      </c>
      <c r="H8" s="53">
        <f>'DOE25'!K205+'DOE25'!K223+'DOE25'!K241</f>
        <v>350404.26</v>
      </c>
      <c r="I8" s="254"/>
    </row>
    <row r="9" spans="1:9" ht="14.25" x14ac:dyDescent="0.2">
      <c r="A9" s="32">
        <v>2310</v>
      </c>
      <c r="B9" s="185" t="s">
        <v>888</v>
      </c>
      <c r="C9" s="273">
        <f t="shared" si="0"/>
        <v>92343.21</v>
      </c>
      <c r="D9" s="244">
        <v>92343.21</v>
      </c>
      <c r="E9" s="243"/>
      <c r="F9" s="251"/>
      <c r="G9" s="251"/>
      <c r="H9" s="251"/>
      <c r="I9" s="254"/>
    </row>
    <row r="10" spans="1:9" ht="14.25" x14ac:dyDescent="0.2">
      <c r="A10" s="32">
        <v>2317</v>
      </c>
      <c r="B10" s="185" t="s">
        <v>889</v>
      </c>
      <c r="C10" s="273">
        <f t="shared" si="0"/>
        <v>30432</v>
      </c>
      <c r="D10" s="243"/>
      <c r="E10" s="244">
        <v>30432</v>
      </c>
      <c r="F10" s="251"/>
      <c r="G10" s="251"/>
      <c r="H10" s="251"/>
      <c r="I10" s="254"/>
    </row>
    <row r="11" spans="1:9" ht="14.25" x14ac:dyDescent="0.2">
      <c r="A11" s="32">
        <v>2321</v>
      </c>
      <c r="B11" s="185" t="s">
        <v>890</v>
      </c>
      <c r="C11" s="273">
        <f t="shared" si="0"/>
        <v>814635.69</v>
      </c>
      <c r="D11" s="244">
        <v>814635.69</v>
      </c>
      <c r="E11" s="243"/>
      <c r="F11" s="251"/>
      <c r="G11" s="251"/>
      <c r="H11" s="251"/>
      <c r="I11" s="254"/>
    </row>
    <row r="12" spans="1:9" x14ac:dyDescent="0.2">
      <c r="A12" s="32">
        <v>2400</v>
      </c>
      <c r="B12" t="s">
        <v>711</v>
      </c>
      <c r="C12" s="273">
        <f t="shared" si="0"/>
        <v>7954685.129999999</v>
      </c>
      <c r="D12" s="20">
        <f>'DOE25'!L206+'DOE25'!L224+'DOE25'!L242-F12-G12-H12</f>
        <v>7954365.2299999986</v>
      </c>
      <c r="E12" s="243"/>
      <c r="F12" s="244"/>
      <c r="G12" s="53">
        <f>'DOE25'!J206+'DOE25'!J224+'DOE25'!J242</f>
        <v>319.89999999999998</v>
      </c>
      <c r="H12" s="53">
        <f>'DOE25'!K206+'DOE25'!K224+'DOE25'!K242</f>
        <v>0</v>
      </c>
      <c r="I12" s="254"/>
    </row>
    <row r="13" spans="1:9" x14ac:dyDescent="0.2">
      <c r="A13" s="32">
        <v>2500</v>
      </c>
      <c r="B13" t="s">
        <v>798</v>
      </c>
      <c r="C13" s="273">
        <f t="shared" si="0"/>
        <v>1330065.29</v>
      </c>
      <c r="D13" s="243"/>
      <c r="E13" s="20">
        <f>'DOE25'!L207+'DOE25'!L225+'DOE25'!L243-F13-G13-H13</f>
        <v>1703532.1600000001</v>
      </c>
      <c r="F13" s="244"/>
      <c r="G13" s="53">
        <f>'DOE25'!J207+'DOE25'!J225+'DOE25'!J243</f>
        <v>0</v>
      </c>
      <c r="H13" s="53">
        <f>'DOE25'!K207+'DOE25'!K225+'DOE25'!K243</f>
        <v>-373466.87</v>
      </c>
      <c r="I13" s="254"/>
    </row>
    <row r="14" spans="1:9" x14ac:dyDescent="0.2">
      <c r="A14" s="32">
        <v>2600</v>
      </c>
      <c r="B14" t="s">
        <v>819</v>
      </c>
      <c r="C14" s="273">
        <f t="shared" si="0"/>
        <v>15070777.850000001</v>
      </c>
      <c r="D14" s="20">
        <f>'DOE25'!L208+'DOE25'!L226+'DOE25'!L244-F14-G14-H14</f>
        <v>13946174.620000001</v>
      </c>
      <c r="E14" s="243"/>
      <c r="F14" s="244">
        <v>1041307.1000000001</v>
      </c>
      <c r="G14" s="53">
        <f>'DOE25'!J208+'DOE25'!J226+'DOE25'!J244</f>
        <v>83551.12999999999</v>
      </c>
      <c r="H14" s="53">
        <f>'DOE25'!K208+'DOE25'!K226+'DOE25'!K244</f>
        <v>-255</v>
      </c>
      <c r="I14" s="254"/>
    </row>
    <row r="15" spans="1:9" x14ac:dyDescent="0.2">
      <c r="A15" s="32">
        <v>2700</v>
      </c>
      <c r="B15" t="s">
        <v>799</v>
      </c>
      <c r="C15" s="273">
        <f t="shared" si="0"/>
        <v>6359210.7300000004</v>
      </c>
      <c r="D15" s="20">
        <f>'DOE25'!L209+'DOE25'!L227+'DOE25'!L245-F15-G15-H15</f>
        <v>355842.67000000179</v>
      </c>
      <c r="E15" s="243"/>
      <c r="F15" s="244">
        <v>6003368.0599999987</v>
      </c>
      <c r="G15" s="53">
        <f>'DOE25'!J209+'DOE25'!J227+'DOE25'!J245</f>
        <v>0</v>
      </c>
      <c r="H15" s="53">
        <f>'DOE25'!K209+'DOE25'!K227+'DOE25'!K245</f>
        <v>0</v>
      </c>
      <c r="I15" s="254"/>
    </row>
    <row r="16" spans="1:9" x14ac:dyDescent="0.2">
      <c r="A16" s="32">
        <v>2800</v>
      </c>
      <c r="B16" t="s">
        <v>800</v>
      </c>
      <c r="C16" s="273">
        <f t="shared" si="0"/>
        <v>623246.78</v>
      </c>
      <c r="D16" s="243"/>
      <c r="E16" s="20">
        <f>'DOE25'!L210+'DOE25'!L228+'DOE25'!L246-F16-G16-H16</f>
        <v>623246.78</v>
      </c>
      <c r="F16" s="244"/>
      <c r="G16" s="53">
        <f>'DOE25'!J210+'DOE25'!J228+'DOE25'!J246</f>
        <v>0</v>
      </c>
      <c r="H16" s="53">
        <f>'DOE25'!K210+'DOE25'!K228+'DOE25'!K246</f>
        <v>0</v>
      </c>
      <c r="I16" s="254"/>
    </row>
    <row r="17" spans="1:9" x14ac:dyDescent="0.2">
      <c r="A17" s="32">
        <v>1600</v>
      </c>
      <c r="B17" t="s">
        <v>801</v>
      </c>
      <c r="C17" s="273">
        <f t="shared" si="0"/>
        <v>165561</v>
      </c>
      <c r="D17" s="20">
        <f>'DOE25'!L252-F17-G17-H17</f>
        <v>165561</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251365.17</v>
      </c>
      <c r="D22" s="243"/>
      <c r="E22" s="243"/>
      <c r="F22" s="243"/>
      <c r="G22" s="53">
        <f>'DOE25'!L256+'DOE25'!L337</f>
        <v>251365.17</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9399661</v>
      </c>
      <c r="D25" s="243"/>
      <c r="E25" s="243"/>
      <c r="F25" s="253"/>
      <c r="G25" s="251"/>
      <c r="H25" s="251"/>
      <c r="I25" s="252">
        <f>'DOE25'!L261+'DOE25'!L262+'DOE25'!L342+'DOE25'!L343</f>
        <v>9399661</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2359393.0300000003</v>
      </c>
      <c r="D29" s="281">
        <f>'DOE25'!L359+'DOE25'!L360+'DOE25'!L361-'DOE25'!I368-F29-G29-H29</f>
        <v>2329332.41</v>
      </c>
      <c r="E29" s="243"/>
      <c r="F29" s="244"/>
      <c r="G29" s="53">
        <f>'DOE25'!J359+'DOE25'!J360+'DOE25'!J361</f>
        <v>30060.620000000003</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15732268.069999997</v>
      </c>
      <c r="D31" s="20">
        <f>'DOE25'!L291+'DOE25'!L310+'DOE25'!L329+'DOE25'!L334+'DOE25'!L335+'DOE25'!L336-F31-G31-H31</f>
        <v>7045842.209999999</v>
      </c>
      <c r="E31" s="243"/>
      <c r="F31" s="244">
        <v>4113856.1</v>
      </c>
      <c r="G31" s="53">
        <f>'DOE25'!J291+'DOE25'!J310+'DOE25'!J329+'DOE25'!J334+'DOE25'!J335+'DOE25'!J336</f>
        <v>4024722.4899999993</v>
      </c>
      <c r="H31" s="53">
        <f>'DOE25'!K291+'DOE25'!K310+'DOE25'!K329+'DOE25'!K334+'DOE25'!K335+'DOE25'!K336</f>
        <v>547847.27</v>
      </c>
      <c r="I31" s="254"/>
    </row>
    <row r="32" spans="1:9" ht="12" thickBot="1" x14ac:dyDescent="0.25">
      <c r="C32" s="274"/>
      <c r="G32" s="249"/>
      <c r="H32" s="249"/>
      <c r="I32" s="256"/>
    </row>
    <row r="33" spans="1:9" ht="12" thickTop="1" x14ac:dyDescent="0.2">
      <c r="B33" t="s">
        <v>809</v>
      </c>
      <c r="D33" s="245">
        <f t="shared" ref="D33:I33" si="1">SUM(D5:D31)</f>
        <v>148143440.92000002</v>
      </c>
      <c r="E33" s="245">
        <f t="shared" si="1"/>
        <v>4797440.55</v>
      </c>
      <c r="F33" s="245">
        <f t="shared" si="1"/>
        <v>14298906.359999998</v>
      </c>
      <c r="G33" s="245">
        <f t="shared" si="1"/>
        <v>6253907.9099999992</v>
      </c>
      <c r="H33" s="245">
        <f t="shared" si="1"/>
        <v>407255.29000000004</v>
      </c>
      <c r="I33" s="245">
        <f t="shared" si="1"/>
        <v>9399661</v>
      </c>
    </row>
    <row r="35" spans="1:9" ht="12" thickBot="1" x14ac:dyDescent="0.25">
      <c r="B35" s="249" t="s">
        <v>831</v>
      </c>
      <c r="D35" s="250">
        <f>E33</f>
        <v>4797440.55</v>
      </c>
      <c r="E35" s="246"/>
      <c r="F35" s="333" t="s">
        <v>1632</v>
      </c>
      <c r="G35" s="334"/>
      <c r="H35" s="334"/>
      <c r="I35" s="334"/>
    </row>
    <row r="36" spans="1:9" ht="12" thickTop="1" x14ac:dyDescent="0.2">
      <c r="B36" t="s">
        <v>810</v>
      </c>
      <c r="D36" s="20">
        <f>D33</f>
        <v>148143440.92000002</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31" sqref="A31"/>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Nashua</v>
      </c>
      <c r="B2" s="126">
        <f>'DOE25'!B2</f>
        <v>371</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79457079.998376608</v>
      </c>
      <c r="G4" s="300">
        <f>'DOE25'!L212+'DOE25'!L291</f>
        <v>79457079.998376608</v>
      </c>
      <c r="H4" s="353">
        <f>F4-G4</f>
        <v>0</v>
      </c>
      <c r="I4" s="371" t="str">
        <f>IF(H4=0,"","ISSUES!! Please review page 7 and 11 totals in comparison with total on this page")</f>
        <v/>
      </c>
      <c r="N4"/>
    </row>
    <row r="5" spans="1:18" x14ac:dyDescent="0.2">
      <c r="A5" s="21" t="s">
        <v>1302</v>
      </c>
      <c r="B5" s="301">
        <f>IFERROR(VLOOKUP(A5,'School Tables'!$C$3:$D$365,2,FALSE),"")</f>
        <v>21940</v>
      </c>
      <c r="C5" s="294" t="str">
        <f>IFERROR(INDEX('School Tables'!$B$3:$B$365,MATCH('School Level Expenditures'!B5,'School Tables'!$D$3:$D$365,0)),"")</f>
        <v>Nashua</v>
      </c>
      <c r="D5" s="291">
        <v>4952223.8959143991</v>
      </c>
      <c r="E5" s="291">
        <v>845033.05213999981</v>
      </c>
      <c r="F5" s="304">
        <f>D5+E5</f>
        <v>5797256.9480543993</v>
      </c>
      <c r="G5" s="294"/>
      <c r="H5" s="294"/>
      <c r="I5" s="372"/>
      <c r="N5"/>
    </row>
    <row r="6" spans="1:18" x14ac:dyDescent="0.2">
      <c r="A6" s="21" t="s">
        <v>1293</v>
      </c>
      <c r="B6" s="301">
        <f>IFERROR(VLOOKUP(A6,'School Tables'!$C$3:$D$365,2,FALSE),"")</f>
        <v>21865</v>
      </c>
      <c r="C6" s="294" t="str">
        <f>IFERROR(INDEX('School Tables'!$B$3:$B$365,MATCH('School Level Expenditures'!B6,'School Tables'!$D$3:$D$365,0)),"")</f>
        <v>Nashua</v>
      </c>
      <c r="D6" s="291">
        <v>6661432.1621109983</v>
      </c>
      <c r="E6" s="291">
        <v>458639.32559000002</v>
      </c>
      <c r="F6" s="304">
        <f t="shared" ref="F6:F20" si="0">D6+E6</f>
        <v>7120071.4877009988</v>
      </c>
      <c r="G6" s="294"/>
      <c r="H6" s="294"/>
      <c r="I6" s="372"/>
      <c r="N6"/>
    </row>
    <row r="7" spans="1:18" x14ac:dyDescent="0.2">
      <c r="A7" s="21" t="s">
        <v>1297</v>
      </c>
      <c r="B7" s="301">
        <f>IFERROR(VLOOKUP(A7,'School Tables'!$C$3:$D$365,2,FALSE),"")</f>
        <v>21895</v>
      </c>
      <c r="C7" s="294" t="str">
        <f>IFERROR(INDEX('School Tables'!$B$3:$B$365,MATCH('School Level Expenditures'!B7,'School Tables'!$D$3:$D$365,0)),"")</f>
        <v>Nashua</v>
      </c>
      <c r="D7" s="291">
        <v>5862005.3455514004</v>
      </c>
      <c r="E7" s="291">
        <v>456310.30716600007</v>
      </c>
      <c r="F7" s="304">
        <f t="shared" si="0"/>
        <v>6318315.6527174003</v>
      </c>
      <c r="G7" s="294"/>
      <c r="H7" s="294"/>
      <c r="I7" s="354"/>
      <c r="N7"/>
    </row>
    <row r="8" spans="1:18" x14ac:dyDescent="0.2">
      <c r="A8" s="21" t="s">
        <v>1299</v>
      </c>
      <c r="B8" s="301">
        <f>IFERROR(VLOOKUP(A8,'School Tables'!$C$3:$D$365,2,FALSE),"")</f>
        <v>21925</v>
      </c>
      <c r="C8" s="294" t="str">
        <f>IFERROR(INDEX('School Tables'!$B$3:$B$365,MATCH('School Level Expenditures'!B8,'School Tables'!$D$3:$D$365,0)),"")</f>
        <v>Nashua</v>
      </c>
      <c r="D8" s="291">
        <v>5872149.1173193986</v>
      </c>
      <c r="E8" s="291">
        <v>521821.22493600007</v>
      </c>
      <c r="F8" s="304">
        <f t="shared" si="0"/>
        <v>6393970.3422553986</v>
      </c>
      <c r="G8" s="294"/>
      <c r="H8" s="294"/>
      <c r="I8" s="354"/>
      <c r="N8"/>
    </row>
    <row r="9" spans="1:18" x14ac:dyDescent="0.2">
      <c r="A9" s="21" t="s">
        <v>1300</v>
      </c>
      <c r="B9" s="301">
        <f>IFERROR(VLOOKUP(A9,'School Tables'!$C$3:$D$365,2,FALSE),"")</f>
        <v>21930</v>
      </c>
      <c r="C9" s="294" t="str">
        <f>IFERROR(INDEX('School Tables'!$B$3:$B$365,MATCH('School Level Expenditures'!B9,'School Tables'!$D$3:$D$365,0)),"")</f>
        <v>Nashua</v>
      </c>
      <c r="D9" s="291">
        <v>6365886.514037</v>
      </c>
      <c r="E9" s="291">
        <v>500293.26806999999</v>
      </c>
      <c r="F9" s="304">
        <f t="shared" si="0"/>
        <v>6866179.7821070002</v>
      </c>
      <c r="G9" s="294"/>
      <c r="H9" s="294"/>
      <c r="I9" s="354"/>
      <c r="N9"/>
    </row>
    <row r="10" spans="1:18" x14ac:dyDescent="0.2">
      <c r="A10" s="21" t="s">
        <v>1288</v>
      </c>
      <c r="B10" s="301">
        <f>IFERROR(VLOOKUP(A10,'School Tables'!$C$3:$D$365,2,FALSE),"")</f>
        <v>21835</v>
      </c>
      <c r="C10" s="294" t="str">
        <f>IFERROR(INDEX('School Tables'!$B$3:$B$365,MATCH('School Level Expenditures'!B10,'School Tables'!$D$3:$D$365,0)),"")</f>
        <v>Nashua</v>
      </c>
      <c r="D10" s="291">
        <v>5103688.3371003987</v>
      </c>
      <c r="E10" s="291">
        <v>830139.34151000006</v>
      </c>
      <c r="F10" s="304">
        <f t="shared" si="0"/>
        <v>5933827.6786103984</v>
      </c>
      <c r="G10" s="294"/>
      <c r="H10" s="294"/>
      <c r="I10" s="126"/>
      <c r="N10"/>
    </row>
    <row r="11" spans="1:18" x14ac:dyDescent="0.2">
      <c r="A11" s="21" t="s">
        <v>1289</v>
      </c>
      <c r="B11" s="301">
        <f>IFERROR(VLOOKUP(A11,'School Tables'!$C$3:$D$365,2,FALSE),"")</f>
        <v>21840</v>
      </c>
      <c r="C11" s="294" t="str">
        <f>IFERROR(INDEX('School Tables'!$B$3:$B$365,MATCH('School Level Expenditures'!B11,'School Tables'!$D$3:$D$365,0)),"")</f>
        <v>Nashua</v>
      </c>
      <c r="D11" s="291">
        <v>6562825.3094611997</v>
      </c>
      <c r="E11" s="291">
        <v>981618.36892799998</v>
      </c>
      <c r="F11" s="304">
        <f t="shared" si="0"/>
        <v>7544443.6783892</v>
      </c>
      <c r="G11" s="294"/>
      <c r="H11" s="294"/>
      <c r="I11" s="126"/>
      <c r="N11"/>
    </row>
    <row r="12" spans="1:18" x14ac:dyDescent="0.2">
      <c r="A12" s="21" t="s">
        <v>1298</v>
      </c>
      <c r="B12" s="301">
        <f>IFERROR(VLOOKUP(A12,'School Tables'!$C$3:$D$365,2,FALSE),"")</f>
        <v>21915</v>
      </c>
      <c r="C12" s="294" t="str">
        <f>IFERROR(INDEX('School Tables'!$B$3:$B$365,MATCH('School Level Expenditures'!B12,'School Tables'!$D$3:$D$365,0)),"")</f>
        <v>Nashua</v>
      </c>
      <c r="D12" s="291">
        <v>6317384.8014455996</v>
      </c>
      <c r="E12" s="291">
        <v>1645044.0279919999</v>
      </c>
      <c r="F12" s="304">
        <f t="shared" si="0"/>
        <v>7962428.8294375995</v>
      </c>
      <c r="G12" s="294"/>
      <c r="H12" s="294"/>
      <c r="I12" s="126"/>
      <c r="N12"/>
    </row>
    <row r="13" spans="1:18" x14ac:dyDescent="0.2">
      <c r="A13" s="21" t="s">
        <v>1301</v>
      </c>
      <c r="B13" s="301">
        <f>IFERROR(VLOOKUP(A13,'School Tables'!$C$3:$D$365,2,FALSE),"")</f>
        <v>21935</v>
      </c>
      <c r="C13" s="294" t="str">
        <f>IFERROR(INDEX('School Tables'!$B$3:$B$365,MATCH('School Level Expenditures'!B13,'School Tables'!$D$3:$D$365,0)),"")</f>
        <v>Nashua</v>
      </c>
      <c r="D13" s="291">
        <v>6558006.3933568001</v>
      </c>
      <c r="E13" s="291">
        <v>521142.88561200001</v>
      </c>
      <c r="F13" s="304">
        <f t="shared" si="0"/>
        <v>7079149.2789687999</v>
      </c>
      <c r="G13" s="294"/>
      <c r="H13" s="294"/>
      <c r="I13" s="126"/>
      <c r="N13"/>
    </row>
    <row r="14" spans="1:18" x14ac:dyDescent="0.2">
      <c r="A14" s="21" t="s">
        <v>1295</v>
      </c>
      <c r="B14" s="301">
        <f>IFERROR(VLOOKUP(A14,'School Tables'!$C$3:$D$365,2,FALSE),"")</f>
        <v>21885</v>
      </c>
      <c r="C14" s="294" t="str">
        <f>IFERROR(INDEX('School Tables'!$B$3:$B$365,MATCH('School Level Expenditures'!B14,'School Tables'!$D$3:$D$365,0)),"")</f>
        <v>Nashua</v>
      </c>
      <c r="D14" s="291">
        <v>4717392.4538914002</v>
      </c>
      <c r="E14" s="291">
        <v>903976.60273000004</v>
      </c>
      <c r="F14" s="304">
        <f t="shared" si="0"/>
        <v>5621369.0566214006</v>
      </c>
      <c r="G14" s="294"/>
      <c r="H14" s="294"/>
      <c r="I14" s="126"/>
      <c r="N14"/>
    </row>
    <row r="15" spans="1:18" x14ac:dyDescent="0.2">
      <c r="A15" s="21" t="s">
        <v>1290</v>
      </c>
      <c r="B15" s="301">
        <f>IFERROR(VLOOKUP(A15,'School Tables'!$C$3:$D$365,2,FALSE),"")</f>
        <v>21845</v>
      </c>
      <c r="C15" s="294" t="str">
        <f>IFERROR(INDEX('School Tables'!$B$3:$B$365,MATCH('School Level Expenditures'!B15,'School Tables'!$D$3:$D$365,0)),"")</f>
        <v>Nashua</v>
      </c>
      <c r="D15" s="291">
        <v>5367115.2273194008</v>
      </c>
      <c r="E15" s="291">
        <v>612859.43493600015</v>
      </c>
      <c r="F15" s="304">
        <f t="shared" si="0"/>
        <v>5979974.6622554008</v>
      </c>
      <c r="G15" s="294"/>
      <c r="H15" s="294"/>
      <c r="I15" s="126"/>
      <c r="N15"/>
    </row>
    <row r="16" spans="1:18" x14ac:dyDescent="0.2">
      <c r="A16" s="21" t="s">
        <v>1291</v>
      </c>
      <c r="B16" s="301">
        <f>IFERROR(VLOOKUP(A16,'School Tables'!$C$3:$D$365,2,FALSE),"")</f>
        <v>21850</v>
      </c>
      <c r="C16" s="294" t="str">
        <f>IFERROR(INDEX('School Tables'!$B$3:$B$365,MATCH('School Level Expenditures'!B16,'School Tables'!$D$3:$D$365,0)),"")</f>
        <v>Nashua</v>
      </c>
      <c r="D16" s="291">
        <v>6234756.6983346008</v>
      </c>
      <c r="E16" s="291">
        <v>605335.90292400005</v>
      </c>
      <c r="F16" s="304">
        <f t="shared" si="0"/>
        <v>6840092.6012586011</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70574866.255842596</v>
      </c>
      <c r="E21" s="351">
        <f>SUM(E5:E20)</f>
        <v>8882213.7425340004</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38099791.246268004</v>
      </c>
      <c r="G24" s="300">
        <f>'DOE25'!L230+'DOE25'!L310</f>
        <v>38099791.246267997</v>
      </c>
      <c r="H24" s="353">
        <f>F24-G24</f>
        <v>0</v>
      </c>
      <c r="I24" s="371" t="str">
        <f>IF(H24=0,"","ISSUES!! Please review page 8 and 12 totals in comparison with total on this page")</f>
        <v/>
      </c>
      <c r="N24"/>
    </row>
    <row r="25" spans="1:14" x14ac:dyDescent="0.2">
      <c r="A25" s="21" t="s">
        <v>1296</v>
      </c>
      <c r="B25" s="301">
        <f>IFERROR(VLOOKUP(A25,'School Tables'!$I$3:$J$80,2,FALSE),"")</f>
        <v>21890</v>
      </c>
      <c r="C25" s="294" t="str">
        <f t="array" ref="C25">IFERROR(INDEX('School Tables'!$H$3:$H$80,MATCH('School Level Expenditures'!B25,'School Tables'!$J$3:$J$80,0)),"")</f>
        <v>Nashua</v>
      </c>
      <c r="D25" s="291">
        <v>15881716.4488724</v>
      </c>
      <c r="E25" s="291">
        <v>1157347.3563059997</v>
      </c>
      <c r="F25" s="304">
        <f>D25+E25</f>
        <v>17039063.8051784</v>
      </c>
      <c r="G25" s="294"/>
      <c r="H25" s="294"/>
      <c r="I25" s="372"/>
      <c r="N25"/>
    </row>
    <row r="26" spans="1:14" x14ac:dyDescent="0.2">
      <c r="A26" s="21" t="s">
        <v>1294</v>
      </c>
      <c r="B26" s="301">
        <f>IFERROR(VLOOKUP(A26,'School Tables'!$I$3:$J$80,2,FALSE),"")</f>
        <v>21875</v>
      </c>
      <c r="C26" s="294" t="str">
        <f t="array" ref="C26">IFERROR(INDEX('School Tables'!$H$3:$H$80,MATCH('School Level Expenditures'!B26,'School Tables'!$J$3:$J$80,0)),"")</f>
        <v>Nashua</v>
      </c>
      <c r="D26" s="291">
        <v>10257234.966280403</v>
      </c>
      <c r="E26" s="291">
        <v>665531.0110360001</v>
      </c>
      <c r="F26" s="304">
        <f t="shared" ref="F26:F32" si="1">D26+E26</f>
        <v>10922765.977316402</v>
      </c>
      <c r="G26" s="294"/>
      <c r="H26" s="294"/>
      <c r="I26" s="372"/>
      <c r="N26"/>
    </row>
    <row r="27" spans="1:14" x14ac:dyDescent="0.2">
      <c r="A27" s="21" t="s">
        <v>1287</v>
      </c>
      <c r="B27" s="301">
        <f>IFERROR(VLOOKUP(A27,'School Tables'!$I$3:$J$80,2,FALSE),"")</f>
        <v>21825</v>
      </c>
      <c r="C27" s="294" t="str">
        <f t="array" ref="C27">IFERROR(INDEX('School Tables'!$H$3:$H$80,MATCH('School Level Expenditures'!B27,'School Tables'!$J$3:$J$80,0)),"")</f>
        <v>Nashua</v>
      </c>
      <c r="D27" s="291">
        <v>9444891.2393651977</v>
      </c>
      <c r="E27" s="291">
        <v>693070.22440800001</v>
      </c>
      <c r="F27" s="304">
        <f t="shared" si="1"/>
        <v>10137961.463773198</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35583842.654518001</v>
      </c>
      <c r="E33" s="351">
        <f>SUM(E25:E32)</f>
        <v>2515948.5917499997</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53391313.595355392</v>
      </c>
      <c r="G36" s="300">
        <f>'DOE25'!L248+'DOE25'!L329</f>
        <v>53391313.595355406</v>
      </c>
      <c r="H36" s="353">
        <f>F36-G36</f>
        <v>0</v>
      </c>
      <c r="I36" s="371" t="str">
        <f>IF(H36=0,"","ISSUES!! Please review page 9 and 13 totals in comparison with total on this page")</f>
        <v/>
      </c>
      <c r="N36"/>
    </row>
    <row r="37" spans="1:14" x14ac:dyDescent="0.2">
      <c r="A37" s="21" t="s">
        <v>1292</v>
      </c>
      <c r="B37" s="301">
        <f>IFERROR(VLOOKUP(A37,'School Tables'!$O$3:$P$118,2,FALSE),"")</f>
        <v>21860</v>
      </c>
      <c r="C37" s="294" t="str">
        <f t="array" ref="C37">IFERROR(INDEX('School Tables'!$N$3:$N$118,MATCH('School Level Expenditures'!B37,'School Tables'!$P$3:$P$118,0)),"")</f>
        <v>Nashua</v>
      </c>
      <c r="D37" s="291">
        <v>26317083.421047796</v>
      </c>
      <c r="E37" s="291">
        <v>2022794.236052</v>
      </c>
      <c r="F37" s="304">
        <f t="shared" ref="F37:F42" si="2">D37+E37</f>
        <v>28339877.657099795</v>
      </c>
      <c r="G37" s="294"/>
      <c r="H37" s="294"/>
      <c r="I37" s="372"/>
      <c r="N37"/>
    </row>
    <row r="38" spans="1:14" x14ac:dyDescent="0.2">
      <c r="A38" s="21" t="s">
        <v>1303</v>
      </c>
      <c r="B38" s="301">
        <f>IFERROR(VLOOKUP(A38,'School Tables'!$O$3:$P$118,2,FALSE),"")</f>
        <v>27960</v>
      </c>
      <c r="C38" s="294" t="str">
        <f t="array" ref="C38">IFERROR(INDEX('School Tables'!$N$3:$N$118,MATCH('School Level Expenditures'!B38,'School Tables'!$P$3:$P$118,0)),"")</f>
        <v>Nashua</v>
      </c>
      <c r="D38" s="291">
        <v>23197986.688591599</v>
      </c>
      <c r="E38" s="291">
        <v>1853449.2496639998</v>
      </c>
      <c r="F38" s="304">
        <f t="shared" si="2"/>
        <v>25051435.938255601</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49515070.109639391</v>
      </c>
      <c r="E43" s="352">
        <f>SUM(E37:E42)</f>
        <v>3876243.4857159997</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Nashua</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0</v>
      </c>
      <c r="D8" s="95">
        <f>'DOE25'!G9</f>
        <v>0</v>
      </c>
      <c r="E8" s="95">
        <f>'DOE25'!H9</f>
        <v>0</v>
      </c>
      <c r="F8" s="95">
        <f>'DOE25'!I9</f>
        <v>0</v>
      </c>
      <c r="G8" s="95">
        <f>'DOE25'!J9</f>
        <v>2143585.4</v>
      </c>
      <c r="H8" s="124"/>
      <c r="I8" s="124"/>
    </row>
    <row r="9" spans="1:9" x14ac:dyDescent="0.2">
      <c r="A9" s="1" t="s">
        <v>140</v>
      </c>
      <c r="B9" s="6">
        <v>110</v>
      </c>
      <c r="C9" s="95">
        <f>'DOE25'!F10</f>
        <v>0</v>
      </c>
      <c r="D9" s="95">
        <f>'DOE25'!G10</f>
        <v>0</v>
      </c>
      <c r="E9" s="95">
        <f>'DOE25'!H10</f>
        <v>0</v>
      </c>
      <c r="F9" s="95">
        <f>'DOE25'!I10</f>
        <v>0</v>
      </c>
      <c r="G9" s="95">
        <f>'DOE25'!J10</f>
        <v>8094530.3099999996</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23099.97</v>
      </c>
      <c r="E11" s="95">
        <f>'DOE25'!H12</f>
        <v>0</v>
      </c>
      <c r="F11" s="95">
        <f>'DOE25'!I12</f>
        <v>0</v>
      </c>
      <c r="G11" s="95">
        <f>'DOE25'!J12</f>
        <v>59966.01</v>
      </c>
      <c r="H11" s="124"/>
      <c r="I11" s="124"/>
    </row>
    <row r="12" spans="1:9" x14ac:dyDescent="0.2">
      <c r="A12" s="1" t="s">
        <v>143</v>
      </c>
      <c r="B12" s="6">
        <v>140</v>
      </c>
      <c r="C12" s="95">
        <f>'DOE25'!F13</f>
        <v>0</v>
      </c>
      <c r="D12" s="95">
        <f>'DOE25'!G13</f>
        <v>210272.98</v>
      </c>
      <c r="E12" s="95">
        <f>'DOE25'!H13</f>
        <v>4115152.43</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0</v>
      </c>
      <c r="D18" s="41">
        <f>SUM(D8:D17)</f>
        <v>233372.95</v>
      </c>
      <c r="E18" s="41">
        <f>SUM(E8:E17)</f>
        <v>4115152.43</v>
      </c>
      <c r="F18" s="41">
        <f>SUM(F8:F17)</f>
        <v>0</v>
      </c>
      <c r="G18" s="41">
        <f>SUM(G8:G17)</f>
        <v>10298081.719999999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1669211.17</v>
      </c>
      <c r="F21" s="95">
        <f>'DOE25'!I22</f>
        <v>8195488.9100000001</v>
      </c>
      <c r="G21" s="95">
        <f>'DOE25'!J22</f>
        <v>154716.69</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820.5</v>
      </c>
      <c r="E23" s="95">
        <f>'DOE25'!H24</f>
        <v>407634.2</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2300</v>
      </c>
      <c r="F29" s="95">
        <f>'DOE25'!I30</f>
        <v>0</v>
      </c>
      <c r="G29" s="24" t="s">
        <v>288</v>
      </c>
      <c r="H29" s="124"/>
      <c r="I29" s="124"/>
    </row>
    <row r="30" spans="1:9" ht="12" thickBot="1" x14ac:dyDescent="0.25">
      <c r="A30" s="1" t="s">
        <v>159</v>
      </c>
      <c r="B30" s="71">
        <v>490</v>
      </c>
      <c r="C30" s="95">
        <f>'DOE25'!F31</f>
        <v>0</v>
      </c>
      <c r="D30" s="95">
        <f>'DOE25'!G31</f>
        <v>0</v>
      </c>
      <c r="E30" s="95">
        <f>'DOE25'!H31</f>
        <v>460</v>
      </c>
      <c r="F30" s="95">
        <f>'DOE25'!I31</f>
        <v>0</v>
      </c>
      <c r="G30" s="95">
        <f>'DOE25'!J31</f>
        <v>0</v>
      </c>
      <c r="H30" s="124"/>
      <c r="I30" s="124"/>
    </row>
    <row r="31" spans="1:9" ht="12" thickTop="1" x14ac:dyDescent="0.2">
      <c r="A31" s="38" t="s">
        <v>160</v>
      </c>
      <c r="B31" s="2"/>
      <c r="C31" s="41">
        <f>SUM(C21:C30)</f>
        <v>0</v>
      </c>
      <c r="D31" s="41">
        <f>SUM(D21:D30)</f>
        <v>820.5</v>
      </c>
      <c r="E31" s="41">
        <f>SUM(E21:E30)</f>
        <v>2079605.3699999999</v>
      </c>
      <c r="F31" s="41">
        <f>SUM(F21:F30)</f>
        <v>8195488.9100000001</v>
      </c>
      <c r="G31" s="41">
        <f>SUM(G21:G30)</f>
        <v>154716.69</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7648036.96</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394102.82</v>
      </c>
      <c r="H38" s="124"/>
      <c r="I38" s="124"/>
    </row>
    <row r="39" spans="1:9" x14ac:dyDescent="0.2">
      <c r="A39" s="1" t="s">
        <v>861</v>
      </c>
      <c r="B39" s="6"/>
      <c r="C39" s="24" t="s">
        <v>288</v>
      </c>
      <c r="D39" s="95">
        <f>'DOE25'!G40</f>
        <v>232422.5</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129.94999999999999</v>
      </c>
      <c r="E44" s="95">
        <f>'DOE25'!H45</f>
        <v>0</v>
      </c>
      <c r="F44" s="95">
        <f>'DOE25'!I45</f>
        <v>0</v>
      </c>
      <c r="G44" s="95">
        <f>'DOE25'!J45</f>
        <v>49070.86</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1592741.8</v>
      </c>
      <c r="F47" s="95">
        <f>'DOE25'!I48</f>
        <v>-27218045.649999999</v>
      </c>
      <c r="G47" s="95">
        <f>'DOE25'!J48</f>
        <v>2052154.3900000001</v>
      </c>
      <c r="H47" s="124"/>
      <c r="I47" s="124"/>
    </row>
    <row r="48" spans="1:9" x14ac:dyDescent="0.2">
      <c r="A48" s="1" t="s">
        <v>882</v>
      </c>
      <c r="B48" s="6">
        <v>753</v>
      </c>
      <c r="C48" s="95">
        <f>'DOE25'!F49</f>
        <v>0</v>
      </c>
      <c r="D48" s="95">
        <f>'DOE25'!G49</f>
        <v>0</v>
      </c>
      <c r="E48" s="95">
        <f>'DOE25'!H49</f>
        <v>442805.26</v>
      </c>
      <c r="F48" s="95">
        <f>'DOE25'!I49</f>
        <v>19022556.739999998</v>
      </c>
      <c r="G48" s="95">
        <f>'DOE25'!J49</f>
        <v>0</v>
      </c>
      <c r="H48" s="124"/>
      <c r="I48" s="124"/>
    </row>
    <row r="49" spans="1:9" ht="12" thickBot="1" x14ac:dyDescent="0.25">
      <c r="A49" s="29" t="s">
        <v>883</v>
      </c>
      <c r="B49" s="71">
        <v>770</v>
      </c>
      <c r="C49" s="95">
        <f>'DOE25'!F50</f>
        <v>0</v>
      </c>
      <c r="D49" s="24" t="s">
        <v>288</v>
      </c>
      <c r="E49" s="24" t="s">
        <v>288</v>
      </c>
      <c r="F49" s="24" t="s">
        <v>288</v>
      </c>
      <c r="G49" s="24" t="s">
        <v>288</v>
      </c>
      <c r="H49" s="124"/>
      <c r="I49" s="124"/>
    </row>
    <row r="50" spans="1:9" ht="12.75" thickTop="1" thickBot="1" x14ac:dyDescent="0.25">
      <c r="A50" s="38" t="s">
        <v>884</v>
      </c>
      <c r="B50" s="48"/>
      <c r="C50" s="41">
        <f>SUM(C34:C49)</f>
        <v>0</v>
      </c>
      <c r="D50" s="41">
        <f>SUM(D34:D49)</f>
        <v>232552.45</v>
      </c>
      <c r="E50" s="41">
        <f>SUM(E34:E49)</f>
        <v>2035547.06</v>
      </c>
      <c r="F50" s="41">
        <f>SUM(F34:F49)</f>
        <v>-8195488.9100000001</v>
      </c>
      <c r="G50" s="41">
        <f>SUM(G34:G49)</f>
        <v>10143365.030000001</v>
      </c>
      <c r="H50" s="124"/>
      <c r="I50" s="124"/>
    </row>
    <row r="51" spans="1:9" ht="12" thickTop="1" x14ac:dyDescent="0.2">
      <c r="A51" s="38" t="s">
        <v>885</v>
      </c>
      <c r="B51" s="2"/>
      <c r="C51" s="41">
        <f>C50+C31</f>
        <v>0</v>
      </c>
      <c r="D51" s="41">
        <f>D50+D31</f>
        <v>233372.95</v>
      </c>
      <c r="E51" s="41">
        <f>E50+E31</f>
        <v>4115152.4299999997</v>
      </c>
      <c r="F51" s="41">
        <f>F50+F31</f>
        <v>0</v>
      </c>
      <c r="G51" s="41">
        <f>G50+G31</f>
        <v>10298081.720000001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100164539.56</v>
      </c>
      <c r="D56" s="95">
        <f>'DOE25'!G60</f>
        <v>0</v>
      </c>
      <c r="E56" s="95">
        <f>'DOE25'!H60</f>
        <v>0</v>
      </c>
      <c r="F56" s="95">
        <f>'DOE25'!I60</f>
        <v>0</v>
      </c>
      <c r="G56" s="95">
        <f>'DOE25'!J60</f>
        <v>0</v>
      </c>
      <c r="H56"/>
      <c r="I56"/>
    </row>
    <row r="57" spans="1:9" x14ac:dyDescent="0.2">
      <c r="A57" s="1" t="s">
        <v>164</v>
      </c>
      <c r="B57" s="6" t="s">
        <v>165</v>
      </c>
      <c r="C57" s="95">
        <f>'DOE25'!F79</f>
        <v>13525.2</v>
      </c>
      <c r="D57" s="24" t="s">
        <v>288</v>
      </c>
      <c r="E57" s="95">
        <f>'DOE25'!H79</f>
        <v>265241.81</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15.18</v>
      </c>
      <c r="E59" s="95">
        <f>'DOE25'!H96</f>
        <v>0</v>
      </c>
      <c r="F59" s="95">
        <f>'DOE25'!I96</f>
        <v>0</v>
      </c>
      <c r="G59" s="95">
        <f>'DOE25'!J96</f>
        <v>1388280.08</v>
      </c>
      <c r="H59"/>
      <c r="I59"/>
    </row>
    <row r="60" spans="1:9" x14ac:dyDescent="0.2">
      <c r="A60" s="1" t="s">
        <v>170</v>
      </c>
      <c r="B60" s="118" t="s">
        <v>171</v>
      </c>
      <c r="C60" s="24" t="s">
        <v>288</v>
      </c>
      <c r="D60" s="95">
        <f>'DOE25'!G97</f>
        <v>8159.25</v>
      </c>
      <c r="E60" s="24" t="s">
        <v>288</v>
      </c>
      <c r="F60" s="24" t="s">
        <v>288</v>
      </c>
      <c r="G60" s="24" t="s">
        <v>288</v>
      </c>
      <c r="H60"/>
      <c r="I60"/>
    </row>
    <row r="61" spans="1:9" ht="12" thickBot="1" x14ac:dyDescent="0.25">
      <c r="A61" s="1" t="s">
        <v>172</v>
      </c>
      <c r="B61" s="118" t="s">
        <v>173</v>
      </c>
      <c r="C61" s="95">
        <f>SUM('DOE25'!F98:F110)</f>
        <v>1040.93</v>
      </c>
      <c r="D61" s="95">
        <f>SUM('DOE25'!G98:G110)</f>
        <v>40156</v>
      </c>
      <c r="E61" s="95">
        <f>SUM('DOE25'!H98:H110)</f>
        <v>145611.51</v>
      </c>
      <c r="F61" s="95">
        <f>SUM('DOE25'!I98:I110)</f>
        <v>0</v>
      </c>
      <c r="G61" s="95">
        <f>SUM('DOE25'!J98:J110)</f>
        <v>238258.5</v>
      </c>
      <c r="H61"/>
      <c r="I61"/>
    </row>
    <row r="62" spans="1:9" ht="12.75" thickTop="1" thickBot="1" x14ac:dyDescent="0.25">
      <c r="A62" s="29" t="s">
        <v>174</v>
      </c>
      <c r="B62" s="6"/>
      <c r="C62" s="130">
        <f>SUM(C57:C61)</f>
        <v>14566.130000000001</v>
      </c>
      <c r="D62" s="130">
        <f>SUM(D57:D61)</f>
        <v>48330.43</v>
      </c>
      <c r="E62" s="130">
        <f>SUM(E57:E61)</f>
        <v>410853.32</v>
      </c>
      <c r="F62" s="130">
        <f>SUM(F57:F61)</f>
        <v>0</v>
      </c>
      <c r="G62" s="130">
        <f>SUM(G57:G61)</f>
        <v>1626538.58</v>
      </c>
      <c r="H62"/>
      <c r="I62"/>
    </row>
    <row r="63" spans="1:9" ht="12" thickTop="1" x14ac:dyDescent="0.2">
      <c r="A63" s="29" t="s">
        <v>175</v>
      </c>
      <c r="B63" s="6"/>
      <c r="C63" s="22">
        <f>C56+C62</f>
        <v>100179105.69</v>
      </c>
      <c r="D63" s="22">
        <f>D56+D62</f>
        <v>48330.43</v>
      </c>
      <c r="E63" s="22">
        <f>E56+E62</f>
        <v>410853.32</v>
      </c>
      <c r="F63" s="22">
        <f>F56+F62</f>
        <v>0</v>
      </c>
      <c r="G63" s="22">
        <f>G56+G62</f>
        <v>1626538.58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38825766.560000002</v>
      </c>
      <c r="D66" s="24" t="s">
        <v>288</v>
      </c>
      <c r="E66" s="24" t="s">
        <v>288</v>
      </c>
      <c r="F66" s="24" t="s">
        <v>288</v>
      </c>
      <c r="G66" s="24" t="s">
        <v>288</v>
      </c>
      <c r="H66"/>
      <c r="I66"/>
    </row>
    <row r="67" spans="1:9" x14ac:dyDescent="0.2">
      <c r="A67" s="1" t="s">
        <v>770</v>
      </c>
      <c r="B67" s="6">
        <v>3112</v>
      </c>
      <c r="C67" s="95">
        <f>'DOE25'!F118</f>
        <v>20650531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60819.79</v>
      </c>
      <c r="D69" s="95">
        <f>'DOE25'!G120</f>
        <v>0</v>
      </c>
      <c r="E69" s="95">
        <f>'DOE25'!H120</f>
        <v>0</v>
      </c>
      <c r="F69" s="95">
        <f>'DOE25'!I120</f>
        <v>0</v>
      </c>
      <c r="G69" s="95">
        <f>'DOE25'!J120</f>
        <v>0</v>
      </c>
      <c r="H69"/>
      <c r="I69"/>
    </row>
    <row r="70" spans="1:9" ht="12" thickTop="1" x14ac:dyDescent="0.2">
      <c r="A70" s="29" t="s">
        <v>252</v>
      </c>
      <c r="B70" s="2"/>
      <c r="C70" s="139">
        <f>SUM(C66:C69)</f>
        <v>59537117.350000001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2211431.86</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1616001.17</v>
      </c>
      <c r="D75" s="24" t="s">
        <v>288</v>
      </c>
      <c r="E75" s="24" t="s">
        <v>288</v>
      </c>
      <c r="F75" s="24" t="s">
        <v>288</v>
      </c>
      <c r="G75" s="24" t="s">
        <v>288</v>
      </c>
      <c r="H75"/>
      <c r="I75"/>
    </row>
    <row r="76" spans="1:9" x14ac:dyDescent="0.2">
      <c r="A76" s="1" t="s">
        <v>257</v>
      </c>
      <c r="B76" s="6" t="s">
        <v>179</v>
      </c>
      <c r="C76" s="95">
        <f>SUM('DOE25'!F127:F130)</f>
        <v>232574.24000000002</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68079.070000000007</v>
      </c>
      <c r="E77" s="95">
        <f>SUM('DOE25'!H131:H135)</f>
        <v>339580.12</v>
      </c>
      <c r="F77" s="95">
        <f>SUM('DOE25'!I131:I135)</f>
        <v>0</v>
      </c>
      <c r="G77" s="95">
        <f>SUM('DOE25'!J131:J135)</f>
        <v>0</v>
      </c>
      <c r="H77"/>
      <c r="I77"/>
    </row>
    <row r="78" spans="1:9" ht="12.75" thickTop="1" thickBot="1" x14ac:dyDescent="0.25">
      <c r="A78" s="29" t="s">
        <v>259</v>
      </c>
      <c r="B78" s="6"/>
      <c r="C78" s="130">
        <f>SUM(C72:C77)</f>
        <v>4060007.27</v>
      </c>
      <c r="D78" s="130">
        <f>SUM(D72:D77)</f>
        <v>68079.070000000007</v>
      </c>
      <c r="E78" s="130">
        <f>SUM(E72:E77)</f>
        <v>339580.12</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63597124.620000005</v>
      </c>
      <c r="D81" s="130">
        <f>SUM(D79:D80)+D78+D70</f>
        <v>68079.070000000007</v>
      </c>
      <c r="E81" s="130">
        <f>SUM(E79:E80)+E78+E70</f>
        <v>339580.12</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1200000</v>
      </c>
      <c r="E85" s="95">
        <f>'DOE25'!H147</f>
        <v>60384.7</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1290798.17</v>
      </c>
      <c r="D88" s="331">
        <f>SUM('DOE25'!G153:G162)</f>
        <v>1589489.22</v>
      </c>
      <c r="E88" s="331">
        <f>SUM('DOE25'!H153:H162)</f>
        <v>14967312.85</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1290798.17</v>
      </c>
      <c r="D91" s="131">
        <f>SUM(D85:D90)</f>
        <v>2789489.2199999997</v>
      </c>
      <c r="E91" s="131">
        <f>SUM(E85:E90)</f>
        <v>15027697.549999999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6400000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38509.550000000003</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150000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150000</v>
      </c>
      <c r="D103" s="86">
        <f>SUM(D93:D102)</f>
        <v>0</v>
      </c>
      <c r="E103" s="86">
        <f>SUM(E93:E102)</f>
        <v>0</v>
      </c>
      <c r="F103" s="86">
        <f>SUM(F93:F102)</f>
        <v>6400000</v>
      </c>
      <c r="G103" s="86">
        <f>SUM(G93:G102)</f>
        <v>38509.550000000003</v>
      </c>
    </row>
    <row r="104" spans="1:7" ht="12.75" thickTop="1" thickBot="1" x14ac:dyDescent="0.25">
      <c r="A104" s="33" t="s">
        <v>761</v>
      </c>
      <c r="C104" s="86">
        <f>C63+C81+C91+C103</f>
        <v>165217028.47999999</v>
      </c>
      <c r="D104" s="86">
        <f>D63+D81+D91+D103</f>
        <v>2905898.7199999997</v>
      </c>
      <c r="E104" s="86">
        <f>E63+E81+E91+E103</f>
        <v>15778130.989999998</v>
      </c>
      <c r="F104" s="86">
        <f>F63+F81+F91+F103</f>
        <v>6400000</v>
      </c>
      <c r="G104" s="86">
        <f>G63+G81+G103</f>
        <v>1665048.1300000001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63446582.389999986</v>
      </c>
      <c r="D109" s="24" t="s">
        <v>288</v>
      </c>
      <c r="E109" s="95">
        <f>('DOE25'!L277)+('DOE25'!L296)+('DOE25'!L315)</f>
        <v>4570395.76</v>
      </c>
      <c r="F109" s="24" t="s">
        <v>288</v>
      </c>
      <c r="G109" s="24" t="s">
        <v>288</v>
      </c>
    </row>
    <row r="110" spans="1:7" x14ac:dyDescent="0.2">
      <c r="A110" t="s">
        <v>198</v>
      </c>
      <c r="B110" s="32" t="s">
        <v>199</v>
      </c>
      <c r="C110" s="95">
        <f>('DOE25'!L199)+('DOE25'!L217)+('DOE25'!L235)</f>
        <v>28564130.68</v>
      </c>
      <c r="D110" s="24" t="s">
        <v>288</v>
      </c>
      <c r="E110" s="95">
        <f>('DOE25'!L278)+('DOE25'!L297)+('DOE25'!L316)</f>
        <v>4852099.37</v>
      </c>
      <c r="F110" s="24" t="s">
        <v>288</v>
      </c>
      <c r="G110" s="24" t="s">
        <v>288</v>
      </c>
    </row>
    <row r="111" spans="1:7" x14ac:dyDescent="0.2">
      <c r="A111" t="s">
        <v>200</v>
      </c>
      <c r="B111" s="32" t="s">
        <v>165</v>
      </c>
      <c r="C111" s="95">
        <f>('DOE25'!L200)+('DOE25'!L218)+('DOE25'!L236)</f>
        <v>5343246.6300000008</v>
      </c>
      <c r="D111" s="24" t="s">
        <v>288</v>
      </c>
      <c r="E111" s="95">
        <f>('DOE25'!L279)+('DOE25'!L298)+('DOE25'!L317)</f>
        <v>357778.7</v>
      </c>
      <c r="F111" s="24" t="s">
        <v>288</v>
      </c>
      <c r="G111" s="24" t="s">
        <v>288</v>
      </c>
    </row>
    <row r="112" spans="1:7" x14ac:dyDescent="0.2">
      <c r="A112" t="s">
        <v>201</v>
      </c>
      <c r="B112" s="32" t="s">
        <v>167</v>
      </c>
      <c r="C112" s="95">
        <f>('DOE25'!L201)+('DOE25'!L219)+('DOE25'!L237)</f>
        <v>887970.53000000014</v>
      </c>
      <c r="D112" s="24" t="s">
        <v>288</v>
      </c>
      <c r="E112" s="95">
        <f>+('DOE25'!L280)+('DOE25'!L299)+('DOE25'!L318)</f>
        <v>881614.04999999993</v>
      </c>
      <c r="F112" s="24" t="s">
        <v>288</v>
      </c>
      <c r="G112" s="24" t="s">
        <v>288</v>
      </c>
    </row>
    <row r="113" spans="1:7" x14ac:dyDescent="0.2">
      <c r="A113" t="s">
        <v>202</v>
      </c>
      <c r="B113" s="32" t="s">
        <v>169</v>
      </c>
      <c r="C113" s="95">
        <f>'DOE25'!L251</f>
        <v>0</v>
      </c>
      <c r="D113" s="24" t="s">
        <v>288</v>
      </c>
      <c r="E113" s="95">
        <f>+'DOE25'!L333</f>
        <v>61882.74</v>
      </c>
      <c r="F113" s="24" t="s">
        <v>288</v>
      </c>
      <c r="G113" s="24" t="s">
        <v>288</v>
      </c>
    </row>
    <row r="114" spans="1:7" ht="12" thickBot="1" x14ac:dyDescent="0.25">
      <c r="A114" t="s">
        <v>203</v>
      </c>
      <c r="B114" s="32" t="s">
        <v>204</v>
      </c>
      <c r="C114" s="95">
        <f>SUM('DOE25'!L252:L254)</f>
        <v>165561</v>
      </c>
      <c r="D114" s="24" t="s">
        <v>288</v>
      </c>
      <c r="E114" s="95">
        <f>+ SUM('DOE25'!L334:L336)</f>
        <v>146014.99</v>
      </c>
      <c r="F114" s="24" t="s">
        <v>288</v>
      </c>
      <c r="G114" s="24" t="s">
        <v>288</v>
      </c>
    </row>
    <row r="115" spans="1:7" ht="12.75" thickTop="1" thickBot="1" x14ac:dyDescent="0.25">
      <c r="A115" s="33" t="s">
        <v>205</v>
      </c>
      <c r="C115" s="86">
        <f>SUM(C109:C114)</f>
        <v>98407491.229999989</v>
      </c>
      <c r="D115" s="86">
        <f>SUM(D109:D114)</f>
        <v>0</v>
      </c>
      <c r="E115" s="86">
        <f>SUM(E109:E114)</f>
        <v>10869785.609999999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15388618.050000001</v>
      </c>
      <c r="D118" s="24" t="s">
        <v>288</v>
      </c>
      <c r="E118" s="95">
        <f>+('DOE25'!L282)+('DOE25'!L301)+('DOE25'!L320)</f>
        <v>2301105.36</v>
      </c>
      <c r="F118" s="24" t="s">
        <v>288</v>
      </c>
      <c r="G118" s="24" t="s">
        <v>288</v>
      </c>
    </row>
    <row r="119" spans="1:7" x14ac:dyDescent="0.2">
      <c r="A119" t="s">
        <v>208</v>
      </c>
      <c r="B119" s="32" t="s">
        <v>209</v>
      </c>
      <c r="C119" s="95">
        <f>('DOE25'!L204)+('DOE25'!L222)+('DOE25'!L240)</f>
        <v>6214204.3599999994</v>
      </c>
      <c r="D119" s="24" t="s">
        <v>288</v>
      </c>
      <c r="E119" s="95">
        <f>+('DOE25'!L283)+('DOE25'!L302)+('DOE25'!L321)</f>
        <v>1423045.58</v>
      </c>
      <c r="F119" s="24" t="s">
        <v>288</v>
      </c>
      <c r="G119" s="24" t="s">
        <v>288</v>
      </c>
    </row>
    <row r="120" spans="1:7" x14ac:dyDescent="0.2">
      <c r="A120" t="s">
        <v>210</v>
      </c>
      <c r="B120" s="32" t="s">
        <v>211</v>
      </c>
      <c r="C120" s="95">
        <f>('DOE25'!L205)+('DOE25'!L223)+('DOE25'!L241)</f>
        <v>4179193.34</v>
      </c>
      <c r="D120" s="24" t="s">
        <v>288</v>
      </c>
      <c r="E120" s="95">
        <f>+('DOE25'!L284)+('DOE25'!L303)+('DOE25'!L322)</f>
        <v>11314</v>
      </c>
      <c r="F120" s="24" t="s">
        <v>288</v>
      </c>
      <c r="G120" s="24" t="s">
        <v>288</v>
      </c>
    </row>
    <row r="121" spans="1:7" x14ac:dyDescent="0.2">
      <c r="A121" t="s">
        <v>212</v>
      </c>
      <c r="B121" s="32" t="s">
        <v>213</v>
      </c>
      <c r="C121" s="95">
        <f>('DOE25'!L206)+('DOE25'!L224)+('DOE25'!L242)</f>
        <v>7954685.129999999</v>
      </c>
      <c r="D121" s="24" t="s">
        <v>288</v>
      </c>
      <c r="E121" s="95">
        <f>+('DOE25'!L285)+('DOE25'!L304)+('DOE25'!L323)</f>
        <v>109649.45000000001</v>
      </c>
      <c r="F121" s="24" t="s">
        <v>288</v>
      </c>
      <c r="G121" s="24" t="s">
        <v>288</v>
      </c>
    </row>
    <row r="122" spans="1:7" x14ac:dyDescent="0.2">
      <c r="A122" t="s">
        <v>214</v>
      </c>
      <c r="B122" s="32" t="s">
        <v>215</v>
      </c>
      <c r="C122" s="95">
        <f>('DOE25'!L207)+('DOE25'!L225)+('DOE25'!L243)</f>
        <v>1330065.29</v>
      </c>
      <c r="D122" s="24" t="s">
        <v>288</v>
      </c>
      <c r="E122" s="95">
        <f>+('DOE25'!L286)+('DOE25'!L305)+('DOE25'!L324)</f>
        <v>373466.88</v>
      </c>
      <c r="F122" s="24" t="s">
        <v>288</v>
      </c>
      <c r="G122" s="24" t="s">
        <v>288</v>
      </c>
    </row>
    <row r="123" spans="1:7" x14ac:dyDescent="0.2">
      <c r="A123" t="s">
        <v>216</v>
      </c>
      <c r="B123" s="32" t="s">
        <v>217</v>
      </c>
      <c r="C123" s="95">
        <f>('DOE25'!L208)+('DOE25'!L226)+('DOE25'!L244)</f>
        <v>15070777.850000001</v>
      </c>
      <c r="D123" s="24" t="s">
        <v>288</v>
      </c>
      <c r="E123" s="95">
        <f>+('DOE25'!L287)+('DOE25'!L306)+('DOE25'!L325)</f>
        <v>638690.60000000009</v>
      </c>
      <c r="F123" s="24" t="s">
        <v>288</v>
      </c>
      <c r="G123" s="24" t="s">
        <v>288</v>
      </c>
    </row>
    <row r="124" spans="1:7" x14ac:dyDescent="0.2">
      <c r="A124" t="s">
        <v>218</v>
      </c>
      <c r="B124" s="32" t="s">
        <v>219</v>
      </c>
      <c r="C124" s="95">
        <f>('DOE25'!L209)+('DOE25'!L227)+('DOE25'!L245+'DOE25'!L255)</f>
        <v>6359210.7300000004</v>
      </c>
      <c r="D124" s="24" t="s">
        <v>288</v>
      </c>
      <c r="E124" s="95">
        <f>+('DOE25'!L288)+('DOE25'!L307)+('DOE25'!L326)</f>
        <v>67093.329999999987</v>
      </c>
      <c r="F124" s="24" t="s">
        <v>288</v>
      </c>
      <c r="G124" s="24" t="s">
        <v>288</v>
      </c>
    </row>
    <row r="125" spans="1:7" x14ac:dyDescent="0.2">
      <c r="A125" t="s">
        <v>220</v>
      </c>
      <c r="B125" s="32" t="s">
        <v>221</v>
      </c>
      <c r="C125" s="95">
        <f>('DOE25'!L210)+('DOE25'!L228)+('DOE25'!L246)</f>
        <v>623246.78</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2925245.06</v>
      </c>
      <c r="E127" s="24" t="s">
        <v>288</v>
      </c>
      <c r="F127" s="24" t="s">
        <v>288</v>
      </c>
      <c r="G127" s="24" t="s">
        <v>288</v>
      </c>
    </row>
    <row r="128" spans="1:7" ht="12.75" thickTop="1" thickBot="1" x14ac:dyDescent="0.25">
      <c r="A128" s="33" t="s">
        <v>226</v>
      </c>
      <c r="C128" s="86">
        <f>SUM(C118:C127)</f>
        <v>57120001.530000001</v>
      </c>
      <c r="D128" s="86">
        <f>SUM(D118:D127)</f>
        <v>2925245.06</v>
      </c>
      <c r="E128" s="86">
        <f>SUM(E118:E127)</f>
        <v>4924365.2000000011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251365.17</v>
      </c>
      <c r="D130" s="24" t="s">
        <v>288</v>
      </c>
      <c r="E130" s="129">
        <f>'DOE25'!L337</f>
        <v>0</v>
      </c>
      <c r="F130" s="129">
        <f>SUM('DOE25'!L375:'DOE25'!L381)</f>
        <v>15490157.98</v>
      </c>
      <c r="G130" s="24" t="s">
        <v>288</v>
      </c>
    </row>
    <row r="131" spans="1:7" x14ac:dyDescent="0.2">
      <c r="A131" t="s">
        <v>229</v>
      </c>
      <c r="B131" s="32">
        <v>5110</v>
      </c>
      <c r="C131" s="95">
        <f>'DOE25'!L261</f>
        <v>7829000</v>
      </c>
      <c r="D131" s="24" t="s">
        <v>288</v>
      </c>
      <c r="E131" s="129">
        <f>'DOE25'!L342</f>
        <v>0</v>
      </c>
      <c r="F131" s="24" t="s">
        <v>288</v>
      </c>
      <c r="G131" s="24" t="s">
        <v>288</v>
      </c>
    </row>
    <row r="132" spans="1:7" x14ac:dyDescent="0.2">
      <c r="A132" t="s">
        <v>230</v>
      </c>
      <c r="B132" s="32">
        <v>5120</v>
      </c>
      <c r="C132" s="95">
        <f>'DOE25'!L262</f>
        <v>1570661</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150000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39473.370000000003</v>
      </c>
      <c r="D138" s="24" t="s">
        <v>288</v>
      </c>
      <c r="E138" s="24" t="s">
        <v>288</v>
      </c>
      <c r="F138" s="24" t="s">
        <v>288</v>
      </c>
      <c r="G138" s="24" t="s">
        <v>288</v>
      </c>
    </row>
    <row r="139" spans="1:7" x14ac:dyDescent="0.2">
      <c r="A139" t="s">
        <v>239</v>
      </c>
      <c r="B139" s="32">
        <v>5252</v>
      </c>
      <c r="C139" s="95">
        <f>'DOE25'!L402</f>
        <v>194635.04</v>
      </c>
      <c r="D139" s="24" t="s">
        <v>288</v>
      </c>
      <c r="E139" s="24" t="s">
        <v>288</v>
      </c>
      <c r="F139" s="24" t="s">
        <v>288</v>
      </c>
      <c r="G139" s="24" t="s">
        <v>288</v>
      </c>
    </row>
    <row r="140" spans="1:7" x14ac:dyDescent="0.2">
      <c r="A140" t="s">
        <v>240</v>
      </c>
      <c r="B140" s="32">
        <v>5253</v>
      </c>
      <c r="C140" s="95">
        <f>'DOE25'!L408</f>
        <v>1430939.72</v>
      </c>
      <c r="D140" s="24" t="s">
        <v>288</v>
      </c>
      <c r="E140" s="24" t="s">
        <v>288</v>
      </c>
      <c r="F140" s="24" t="s">
        <v>288</v>
      </c>
      <c r="G140" s="24" t="s">
        <v>288</v>
      </c>
    </row>
    <row r="141" spans="1:7" x14ac:dyDescent="0.2">
      <c r="A141" t="s">
        <v>762</v>
      </c>
      <c r="B141" s="32">
        <v>5254</v>
      </c>
      <c r="C141" s="95">
        <f>('DOE25'!L267+'DOE25'!K348) - (C138+C139+C140)</f>
        <v>-1626538.5799999998</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9689535.7199999988</v>
      </c>
      <c r="D144" s="141">
        <f>SUM(D130:D143)</f>
        <v>0</v>
      </c>
      <c r="E144" s="141">
        <f>SUM(E130:E143)</f>
        <v>0</v>
      </c>
      <c r="F144" s="141">
        <f>SUM(F130:F143)</f>
        <v>15490157.98</v>
      </c>
      <c r="G144" s="141">
        <f>SUM(G130:G143)</f>
        <v>150000</v>
      </c>
    </row>
    <row r="145" spans="1:9" ht="12.75" thickTop="1" thickBot="1" x14ac:dyDescent="0.25">
      <c r="A145" s="33" t="s">
        <v>244</v>
      </c>
      <c r="C145" s="86">
        <f>(C115+C128+C144)</f>
        <v>165217028.47999999</v>
      </c>
      <c r="D145" s="86">
        <f>(D115+D128+D144)</f>
        <v>2925245.06</v>
      </c>
      <c r="E145" s="86">
        <f>(E115+E128+E144)</f>
        <v>15794150.810000001</v>
      </c>
      <c r="F145" s="86">
        <f>(F115+F128+F144)</f>
        <v>15490157.98</v>
      </c>
      <c r="G145" s="86">
        <f>(G115+G128+G144)</f>
        <v>150000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40711000</v>
      </c>
      <c r="C156" s="137">
        <f>'DOE25'!G496</f>
        <v>0</v>
      </c>
      <c r="D156" s="137">
        <f>'DOE25'!H496</f>
        <v>0</v>
      </c>
      <c r="E156" s="137">
        <f>'DOE25'!I496</f>
        <v>0</v>
      </c>
      <c r="F156" s="137">
        <f>'DOE25'!J496</f>
        <v>0</v>
      </c>
      <c r="G156" s="138">
        <f>SUM(B156:F156)</f>
        <v>40711000</v>
      </c>
    </row>
    <row r="157" spans="1:9" x14ac:dyDescent="0.2">
      <c r="A157" s="22" t="s">
        <v>33</v>
      </c>
      <c r="B157" s="137">
        <f>'DOE25'!F497</f>
        <v>6400000</v>
      </c>
      <c r="C157" s="137">
        <f>'DOE25'!G497</f>
        <v>0</v>
      </c>
      <c r="D157" s="137">
        <f>'DOE25'!H497</f>
        <v>0</v>
      </c>
      <c r="E157" s="137">
        <f>'DOE25'!I497</f>
        <v>0</v>
      </c>
      <c r="F157" s="137">
        <f>'DOE25'!J497</f>
        <v>0</v>
      </c>
      <c r="G157" s="138">
        <f t="shared" ref="G157:G164" si="0">SUM(B157:F157)</f>
        <v>6400000</v>
      </c>
    </row>
    <row r="158" spans="1:9" x14ac:dyDescent="0.2">
      <c r="A158" s="22" t="s">
        <v>34</v>
      </c>
      <c r="B158" s="137">
        <f>'DOE25'!F498</f>
        <v>7829000</v>
      </c>
      <c r="C158" s="137">
        <f>'DOE25'!G498</f>
        <v>0</v>
      </c>
      <c r="D158" s="137">
        <f>'DOE25'!H498</f>
        <v>0</v>
      </c>
      <c r="E158" s="137">
        <f>'DOE25'!I498</f>
        <v>0</v>
      </c>
      <c r="F158" s="137">
        <f>'DOE25'!J498</f>
        <v>0</v>
      </c>
      <c r="G158" s="138">
        <f t="shared" si="0"/>
        <v>7829000</v>
      </c>
    </row>
    <row r="159" spans="1:9" x14ac:dyDescent="0.2">
      <c r="A159" s="22" t="s">
        <v>35</v>
      </c>
      <c r="B159" s="137">
        <f>'DOE25'!F499</f>
        <v>39282000</v>
      </c>
      <c r="C159" s="137">
        <f>'DOE25'!G499</f>
        <v>0</v>
      </c>
      <c r="D159" s="137">
        <f>'DOE25'!H499</f>
        <v>0</v>
      </c>
      <c r="E159" s="137">
        <f>'DOE25'!I499</f>
        <v>0</v>
      </c>
      <c r="F159" s="137">
        <f>'DOE25'!J499</f>
        <v>0</v>
      </c>
      <c r="G159" s="138">
        <f t="shared" si="0"/>
        <v>39282000</v>
      </c>
    </row>
    <row r="160" spans="1:9" x14ac:dyDescent="0.2">
      <c r="A160" s="22" t="s">
        <v>36</v>
      </c>
      <c r="B160" s="137">
        <f>'DOE25'!F500</f>
        <v>8761795</v>
      </c>
      <c r="C160" s="137">
        <f>'DOE25'!G500</f>
        <v>0</v>
      </c>
      <c r="D160" s="137">
        <f>'DOE25'!H500</f>
        <v>0</v>
      </c>
      <c r="E160" s="137">
        <f>'DOE25'!I500</f>
        <v>0</v>
      </c>
      <c r="F160" s="137">
        <f>'DOE25'!J500</f>
        <v>0</v>
      </c>
      <c r="G160" s="138">
        <f t="shared" si="0"/>
        <v>8761795</v>
      </c>
    </row>
    <row r="161" spans="1:7" x14ac:dyDescent="0.2">
      <c r="A161" s="22" t="s">
        <v>37</v>
      </c>
      <c r="B161" s="137">
        <f>'DOE25'!F501</f>
        <v>48043795</v>
      </c>
      <c r="C161" s="137">
        <f>'DOE25'!G501</f>
        <v>0</v>
      </c>
      <c r="D161" s="137">
        <f>'DOE25'!H501</f>
        <v>0</v>
      </c>
      <c r="E161" s="137">
        <f>'DOE25'!I501</f>
        <v>0</v>
      </c>
      <c r="F161" s="137">
        <f>'DOE25'!J501</f>
        <v>0</v>
      </c>
      <c r="G161" s="138">
        <f t="shared" si="0"/>
        <v>48043795</v>
      </c>
    </row>
    <row r="162" spans="1:7" x14ac:dyDescent="0.2">
      <c r="A162" s="22" t="s">
        <v>38</v>
      </c>
      <c r="B162" s="137">
        <f>'DOE25'!F502</f>
        <v>5860000</v>
      </c>
      <c r="C162" s="137">
        <f>'DOE25'!G502</f>
        <v>0</v>
      </c>
      <c r="D162" s="137">
        <f>'DOE25'!H502</f>
        <v>0</v>
      </c>
      <c r="E162" s="137">
        <f>'DOE25'!I502</f>
        <v>0</v>
      </c>
      <c r="F162" s="137">
        <f>'DOE25'!J502</f>
        <v>0</v>
      </c>
      <c r="G162" s="138">
        <f t="shared" si="0"/>
        <v>5860000</v>
      </c>
    </row>
    <row r="163" spans="1:7" x14ac:dyDescent="0.2">
      <c r="A163" s="22" t="s">
        <v>39</v>
      </c>
      <c r="B163" s="137">
        <f>'DOE25'!F503</f>
        <v>1476802</v>
      </c>
      <c r="C163" s="137">
        <f>'DOE25'!G503</f>
        <v>0</v>
      </c>
      <c r="D163" s="137">
        <f>'DOE25'!H503</f>
        <v>0</v>
      </c>
      <c r="E163" s="137">
        <f>'DOE25'!I503</f>
        <v>0</v>
      </c>
      <c r="F163" s="137">
        <f>'DOE25'!J503</f>
        <v>0</v>
      </c>
      <c r="G163" s="138">
        <f t="shared" si="0"/>
        <v>1476802</v>
      </c>
    </row>
    <row r="164" spans="1:7" x14ac:dyDescent="0.2">
      <c r="A164" s="22" t="s">
        <v>246</v>
      </c>
      <c r="B164" s="137">
        <f>'DOE25'!F504</f>
        <v>7336802</v>
      </c>
      <c r="C164" s="137">
        <f>'DOE25'!G504</f>
        <v>0</v>
      </c>
      <c r="D164" s="137">
        <f>'DOE25'!H504</f>
        <v>0</v>
      </c>
      <c r="E164" s="137">
        <f>'DOE25'!I504</f>
        <v>0</v>
      </c>
      <c r="F164" s="137">
        <f>'DOE25'!J504</f>
        <v>0</v>
      </c>
      <c r="G164" s="138">
        <f t="shared" si="0"/>
        <v>7336802</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Nashua</v>
      </c>
    </row>
    <row r="3" spans="1:4" x14ac:dyDescent="0.2">
      <c r="B3" s="188" t="s">
        <v>1666</v>
      </c>
    </row>
    <row r="4" spans="1:4" x14ac:dyDescent="0.2">
      <c r="B4" t="s">
        <v>61</v>
      </c>
      <c r="C4" s="179">
        <f>IF('DOE25'!F666+'DOE25'!F671=0,0,ROUND('DOE25'!F673,0))</f>
        <v>17134</v>
      </c>
    </row>
    <row r="5" spans="1:4" x14ac:dyDescent="0.2">
      <c r="B5" t="s">
        <v>700</v>
      </c>
      <c r="C5" s="179">
        <f>IF('DOE25'!G666+'DOE25'!G671=0,0,ROUND('DOE25'!G673,0))</f>
        <v>14917</v>
      </c>
    </row>
    <row r="6" spans="1:4" x14ac:dyDescent="0.2">
      <c r="B6" t="s">
        <v>62</v>
      </c>
      <c r="C6" s="179">
        <f>IF('DOE25'!H666+'DOE25'!H671=0,0,ROUND('DOE25'!H673,0))</f>
        <v>13345</v>
      </c>
    </row>
    <row r="7" spans="1:4" x14ac:dyDescent="0.2">
      <c r="B7" t="s">
        <v>701</v>
      </c>
      <c r="C7" s="179">
        <f>IF('DOE25'!I666+'DOE25'!I671=0,0,ROUND('DOE25'!I673,0))</f>
        <v>15344</v>
      </c>
    </row>
    <row r="9" spans="1:4" x14ac:dyDescent="0.2">
      <c r="A9" s="187" t="s">
        <v>94</v>
      </c>
      <c r="B9" s="188" t="s">
        <v>1671</v>
      </c>
      <c r="C9" s="181" t="s">
        <v>720</v>
      </c>
      <c r="D9" s="181" t="s">
        <v>721</v>
      </c>
    </row>
    <row r="10" spans="1:4" x14ac:dyDescent="0.2">
      <c r="A10">
        <v>1100</v>
      </c>
      <c r="B10" t="s">
        <v>702</v>
      </c>
      <c r="C10" s="179">
        <f>ROUND('DOE25'!L198+'DOE25'!L216+'DOE25'!L234+'DOE25'!L277+'DOE25'!L296+'DOE25'!L315,0)</f>
        <v>68016978</v>
      </c>
      <c r="D10" s="182">
        <f>ROUND((C10/$C$28)*100,1)</f>
        <v>38.700000000000003</v>
      </c>
    </row>
    <row r="11" spans="1:4" x14ac:dyDescent="0.2">
      <c r="A11">
        <v>1200</v>
      </c>
      <c r="B11" t="s">
        <v>703</v>
      </c>
      <c r="C11" s="179">
        <f>ROUND('DOE25'!L199+'DOE25'!L217+'DOE25'!L235+'DOE25'!L278+'DOE25'!L297+'DOE25'!L316,0)</f>
        <v>33416230</v>
      </c>
      <c r="D11" s="182">
        <f>ROUND((C11/$C$28)*100,1)</f>
        <v>19</v>
      </c>
    </row>
    <row r="12" spans="1:4" x14ac:dyDescent="0.2">
      <c r="A12">
        <v>1300</v>
      </c>
      <c r="B12" t="s">
        <v>704</v>
      </c>
      <c r="C12" s="179">
        <f>ROUND('DOE25'!L200+'DOE25'!L218+'DOE25'!L236+'DOE25'!L279+'DOE25'!L298+'DOE25'!L317,0)</f>
        <v>5701025</v>
      </c>
      <c r="D12" s="182">
        <f>ROUND((C12/$C$28)*100,1)</f>
        <v>3.2</v>
      </c>
    </row>
    <row r="13" spans="1:4" x14ac:dyDescent="0.2">
      <c r="A13">
        <v>1400</v>
      </c>
      <c r="B13" t="s">
        <v>705</v>
      </c>
      <c r="C13" s="179">
        <f>ROUND('DOE25'!L201+'DOE25'!L219+'DOE25'!L237+'DOE25'!L280+'DOE25'!L299+'DOE25'!L318,0)</f>
        <v>1769585</v>
      </c>
      <c r="D13" s="182">
        <f>ROUND((C13/$C$28)*100,1)</f>
        <v>1</v>
      </c>
    </row>
    <row r="14" spans="1:4" x14ac:dyDescent="0.2">
      <c r="D14" s="182"/>
    </row>
    <row r="15" spans="1:4" x14ac:dyDescent="0.2">
      <c r="A15">
        <v>2100</v>
      </c>
      <c r="B15" t="s">
        <v>706</v>
      </c>
      <c r="C15" s="179">
        <f>ROUND('DOE25'!L203+'DOE25'!L221+'DOE25'!L239+'DOE25'!L282+'DOE25'!L301+'DOE25'!L320,0)</f>
        <v>17689723</v>
      </c>
      <c r="D15" s="182">
        <f t="shared" ref="D15:D27" si="0">ROUND((C15/$C$28)*100,1)</f>
        <v>10.1</v>
      </c>
    </row>
    <row r="16" spans="1:4" x14ac:dyDescent="0.2">
      <c r="A16">
        <v>2200</v>
      </c>
      <c r="B16" t="s">
        <v>707</v>
      </c>
      <c r="C16" s="179">
        <f>ROUND('DOE25'!L204+'DOE25'!L222+'DOE25'!L240+'DOE25'!L283+'DOE25'!L302+'DOE25'!L321,0)</f>
        <v>7637250</v>
      </c>
      <c r="D16" s="182">
        <f t="shared" si="0"/>
        <v>4.3</v>
      </c>
    </row>
    <row r="17" spans="1:4" x14ac:dyDescent="0.2">
      <c r="A17" s="183" t="s">
        <v>723</v>
      </c>
      <c r="B17" t="s">
        <v>738</v>
      </c>
      <c r="C17" s="179">
        <f>ROUND('DOE25'!L205+'DOE25'!L210+'DOE25'!L223+'DOE25'!L228+'DOE25'!L241+'DOE25'!L246+'DOE25'!L284+'DOE25'!L289+'DOE25'!L303+'DOE25'!L308+'DOE25'!L322+'DOE25'!L327,0)</f>
        <v>4813754</v>
      </c>
      <c r="D17" s="182">
        <f t="shared" si="0"/>
        <v>2.7</v>
      </c>
    </row>
    <row r="18" spans="1:4" x14ac:dyDescent="0.2">
      <c r="A18">
        <v>2400</v>
      </c>
      <c r="B18" t="s">
        <v>711</v>
      </c>
      <c r="C18" s="179">
        <f>ROUND('DOE25'!L206+'DOE25'!L224+'DOE25'!L242+'DOE25'!L285+'DOE25'!L304+'DOE25'!L323,0)</f>
        <v>8064335</v>
      </c>
      <c r="D18" s="182">
        <f t="shared" si="0"/>
        <v>4.5999999999999996</v>
      </c>
    </row>
    <row r="19" spans="1:4" x14ac:dyDescent="0.2">
      <c r="A19">
        <v>2500</v>
      </c>
      <c r="B19" t="s">
        <v>708</v>
      </c>
      <c r="C19" s="179">
        <f>ROUND('DOE25'!L207+'DOE25'!L225+'DOE25'!L243+'DOE25'!L286+'DOE25'!L305+'DOE25'!L324,0)</f>
        <v>1703532</v>
      </c>
      <c r="D19" s="182">
        <f t="shared" si="0"/>
        <v>1</v>
      </c>
    </row>
    <row r="20" spans="1:4" x14ac:dyDescent="0.2">
      <c r="A20">
        <v>2600</v>
      </c>
      <c r="B20" t="s">
        <v>709</v>
      </c>
      <c r="C20" s="179">
        <f>ROUND('DOE25'!L208+'DOE25'!L226+'DOE25'!L244+'DOE25'!L287+'DOE25'!L306+'DOE25'!L325,0)</f>
        <v>15709468</v>
      </c>
      <c r="D20" s="182">
        <f t="shared" si="0"/>
        <v>8.9</v>
      </c>
    </row>
    <row r="21" spans="1:4" x14ac:dyDescent="0.2">
      <c r="A21">
        <v>2700</v>
      </c>
      <c r="B21" t="s">
        <v>710</v>
      </c>
      <c r="C21" s="179">
        <f>ROUND('DOE25'!L209+'DOE25'!L227+'DOE25'!L245+'DOE25'!L288+'DOE25'!L307+'DOE25'!L326,0)</f>
        <v>6426304</v>
      </c>
      <c r="D21" s="182">
        <f t="shared" si="0"/>
        <v>3.7</v>
      </c>
    </row>
    <row r="22" spans="1:4" x14ac:dyDescent="0.2">
      <c r="A22">
        <v>2900</v>
      </c>
      <c r="B22" t="s">
        <v>712</v>
      </c>
      <c r="C22" s="179">
        <v>0</v>
      </c>
      <c r="D22" s="182">
        <f t="shared" si="0"/>
        <v>0</v>
      </c>
    </row>
    <row r="23" spans="1:4" x14ac:dyDescent="0.2">
      <c r="A23">
        <v>1500</v>
      </c>
      <c r="B23" t="s">
        <v>714</v>
      </c>
      <c r="C23" s="179">
        <f>ROUND('DOE25'!L251+'DOE25'!L333,0)</f>
        <v>61883</v>
      </c>
      <c r="D23" s="182">
        <f t="shared" si="0"/>
        <v>0</v>
      </c>
    </row>
    <row r="24" spans="1:4" x14ac:dyDescent="0.2">
      <c r="A24" s="183" t="s">
        <v>722</v>
      </c>
      <c r="B24" t="s">
        <v>715</v>
      </c>
      <c r="C24" s="179">
        <f>ROUND('DOE25'!L252+'DOE25'!L253+'DOE25'!L254+'DOE25'!L255+'DOE25'!L334+'DOE25'!L335+'DOE25'!L336,0)</f>
        <v>311576</v>
      </c>
      <c r="D24" s="182">
        <f t="shared" si="0"/>
        <v>0.2</v>
      </c>
    </row>
    <row r="25" spans="1:4" x14ac:dyDescent="0.2">
      <c r="A25">
        <v>5120</v>
      </c>
      <c r="B25" t="s">
        <v>716</v>
      </c>
      <c r="C25" s="179">
        <f>ROUND('DOE25'!L262+'DOE25'!L343,0)</f>
        <v>1570661</v>
      </c>
      <c r="D25" s="182">
        <f t="shared" si="0"/>
        <v>0.9</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2876929.75</v>
      </c>
      <c r="D27" s="182">
        <f t="shared" si="0"/>
        <v>1.6</v>
      </c>
    </row>
    <row r="28" spans="1:4" x14ac:dyDescent="0.2">
      <c r="B28" s="187" t="s">
        <v>719</v>
      </c>
      <c r="C28" s="180">
        <f>SUM(C10:C27)</f>
        <v>175769233.75</v>
      </c>
      <c r="D28" s="184">
        <f>ROUND(SUM(D10:D27),0)</f>
        <v>100</v>
      </c>
    </row>
    <row r="29" spans="1:4" x14ac:dyDescent="0.2">
      <c r="A29">
        <v>4000</v>
      </c>
      <c r="B29" t="s">
        <v>724</v>
      </c>
      <c r="C29" s="179">
        <f>ROUND('DOE25'!L256+'DOE25'!L337+'DOE25'!L375+'DOE25'!L376+'DOE25'!L377+'DOE25'!L378+'DOE25'!L379+'DOE25'!L380+'DOE25'!L381,0)</f>
        <v>15741523</v>
      </c>
    </row>
    <row r="30" spans="1:4" x14ac:dyDescent="0.2">
      <c r="B30" s="187" t="s">
        <v>725</v>
      </c>
      <c r="C30" s="180">
        <f>SUM(C28:C29)</f>
        <v>191510756.75</v>
      </c>
    </row>
    <row r="31" spans="1:4" x14ac:dyDescent="0.2">
      <c r="B31" s="33"/>
      <c r="C31" s="180"/>
    </row>
    <row r="32" spans="1:4" x14ac:dyDescent="0.2">
      <c r="A32">
        <v>5100</v>
      </c>
      <c r="B32" s="33" t="s">
        <v>726</v>
      </c>
      <c r="C32" s="180">
        <f>ROUND('DOE25'!L261+'DOE25'!L342,0)</f>
        <v>7829000</v>
      </c>
    </row>
    <row r="34" spans="1:4" x14ac:dyDescent="0.2">
      <c r="A34" s="187" t="s">
        <v>94</v>
      </c>
      <c r="B34" s="188" t="s">
        <v>1667</v>
      </c>
      <c r="C34" s="181" t="s">
        <v>720</v>
      </c>
      <c r="D34" s="181" t="s">
        <v>721</v>
      </c>
    </row>
    <row r="35" spans="1:4" x14ac:dyDescent="0.2">
      <c r="A35">
        <v>1100</v>
      </c>
      <c r="B35" s="185" t="s">
        <v>727</v>
      </c>
      <c r="C35" s="179">
        <f>ROUND('DOE25'!F60+'DOE25'!G60+'DOE25'!H60+'DOE25'!I60+'DOE25'!J60,0)</f>
        <v>100164540</v>
      </c>
      <c r="D35" s="182">
        <f t="shared" ref="D35:D40" si="1">ROUND((C35/$C$41)*100,1)</f>
        <v>54</v>
      </c>
    </row>
    <row r="36" spans="1:4" x14ac:dyDescent="0.2">
      <c r="B36" s="185" t="s">
        <v>739</v>
      </c>
      <c r="C36" s="179">
        <f>SUM('DOE25'!F112:J112)-SUM('DOE25'!G97:G110)+('DOE25'!F175+'DOE25'!F176+'DOE25'!I175+'DOE25'!I176)-C35</f>
        <v>2051972.7700000107</v>
      </c>
      <c r="D36" s="182">
        <f t="shared" si="1"/>
        <v>1.1000000000000001</v>
      </c>
    </row>
    <row r="37" spans="1:4" x14ac:dyDescent="0.2">
      <c r="A37" s="183" t="s">
        <v>835</v>
      </c>
      <c r="B37" s="185" t="s">
        <v>728</v>
      </c>
      <c r="C37" s="179">
        <f>ROUND('DOE25'!F117+'DOE25'!F118,0)</f>
        <v>59476298</v>
      </c>
      <c r="D37" s="182">
        <f t="shared" si="1"/>
        <v>32.1</v>
      </c>
    </row>
    <row r="38" spans="1:4" x14ac:dyDescent="0.2">
      <c r="A38" s="183" t="s">
        <v>734</v>
      </c>
      <c r="B38" s="185" t="s">
        <v>729</v>
      </c>
      <c r="C38" s="179">
        <f>ROUND(SUM('DOE25'!F140:J140)-SUM('DOE25'!F117:F119),0)</f>
        <v>4528486</v>
      </c>
      <c r="D38" s="182">
        <f t="shared" si="1"/>
        <v>2.4</v>
      </c>
    </row>
    <row r="39" spans="1:4" x14ac:dyDescent="0.2">
      <c r="A39">
        <v>4000</v>
      </c>
      <c r="B39" s="185" t="s">
        <v>730</v>
      </c>
      <c r="C39" s="179">
        <f>ROUND('DOE25'!F170+'DOE25'!G170+'DOE25'!H170+'DOE25'!I170,0)</f>
        <v>19107985</v>
      </c>
      <c r="D39" s="182">
        <f t="shared" si="1"/>
        <v>10.3</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185329281.77000001</v>
      </c>
      <c r="D41" s="184">
        <f>SUM(D35:D40)</f>
        <v>99.9</v>
      </c>
    </row>
    <row r="42" spans="1:4" x14ac:dyDescent="0.2">
      <c r="A42" s="183" t="s">
        <v>737</v>
      </c>
      <c r="B42" s="185" t="s">
        <v>733</v>
      </c>
      <c r="C42" s="179">
        <f>ROUND('DOE25'!F174+'DOE25'!I174+'DOE25'!F177+'DOE25'!I177,0)</f>
        <v>6400000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78" t="s">
        <v>766</v>
      </c>
      <c r="B1" s="379"/>
      <c r="C1" s="379"/>
      <c r="D1" s="379"/>
      <c r="E1" s="379"/>
      <c r="F1" s="379"/>
      <c r="G1" s="379"/>
      <c r="H1" s="379"/>
      <c r="I1" s="379"/>
      <c r="J1" s="213"/>
      <c r="K1" s="213"/>
      <c r="L1" s="213"/>
      <c r="M1" s="214"/>
    </row>
    <row r="2" spans="1:26" ht="12.75" x14ac:dyDescent="0.2">
      <c r="A2" s="384" t="s">
        <v>763</v>
      </c>
      <c r="B2" s="385"/>
      <c r="C2" s="385"/>
      <c r="D2" s="385"/>
      <c r="E2" s="385"/>
      <c r="F2" s="382" t="str">
        <f>'DOE25'!A2</f>
        <v>Nashua</v>
      </c>
      <c r="G2" s="383"/>
      <c r="H2" s="383"/>
      <c r="I2" s="383"/>
      <c r="J2" s="52"/>
      <c r="K2" s="52"/>
      <c r="L2" s="52"/>
      <c r="M2" s="215"/>
    </row>
    <row r="3" spans="1:26" x14ac:dyDescent="0.2">
      <c r="A3" s="216" t="s">
        <v>764</v>
      </c>
      <c r="B3" s="217" t="s">
        <v>765</v>
      </c>
      <c r="C3" s="380" t="s">
        <v>767</v>
      </c>
      <c r="D3" s="380"/>
      <c r="E3" s="380"/>
      <c r="F3" s="380"/>
      <c r="G3" s="380"/>
      <c r="H3" s="380"/>
      <c r="I3" s="380"/>
      <c r="J3" s="380"/>
      <c r="K3" s="380"/>
      <c r="L3" s="380"/>
      <c r="M3" s="381"/>
    </row>
    <row r="4" spans="1:26" x14ac:dyDescent="0.2">
      <c r="A4" s="218"/>
      <c r="B4" s="219"/>
      <c r="C4" s="376"/>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75"/>
      <c r="Q29" s="375"/>
      <c r="R29" s="375"/>
      <c r="S29" s="375"/>
      <c r="T29" s="375"/>
      <c r="U29" s="375"/>
      <c r="V29" s="375"/>
      <c r="W29" s="375"/>
      <c r="X29" s="375"/>
      <c r="Y29" s="375"/>
      <c r="Z29" s="375"/>
      <c r="AA29" s="207"/>
      <c r="AB29" s="207"/>
      <c r="AC29" s="374"/>
      <c r="AD29" s="374"/>
      <c r="AE29" s="374"/>
      <c r="AF29" s="374"/>
      <c r="AG29" s="374"/>
      <c r="AH29" s="374"/>
      <c r="AI29" s="374"/>
      <c r="AJ29" s="374"/>
      <c r="AK29" s="374"/>
      <c r="AL29" s="374"/>
      <c r="AM29" s="374"/>
      <c r="AN29" s="207"/>
      <c r="AO29" s="207"/>
      <c r="AP29" s="374"/>
      <c r="AQ29" s="374"/>
      <c r="AR29" s="374"/>
      <c r="AS29" s="374"/>
      <c r="AT29" s="374"/>
      <c r="AU29" s="374"/>
      <c r="AV29" s="374"/>
      <c r="AW29" s="374"/>
      <c r="AX29" s="374"/>
      <c r="AY29" s="374"/>
      <c r="AZ29" s="374"/>
      <c r="BA29" s="207"/>
      <c r="BB29" s="207"/>
      <c r="BC29" s="374"/>
      <c r="BD29" s="374"/>
      <c r="BE29" s="374"/>
      <c r="BF29" s="374"/>
      <c r="BG29" s="374"/>
      <c r="BH29" s="374"/>
      <c r="BI29" s="374"/>
      <c r="BJ29" s="374"/>
      <c r="BK29" s="374"/>
      <c r="BL29" s="374"/>
      <c r="BM29" s="374"/>
      <c r="BN29" s="207"/>
      <c r="BO29" s="207"/>
      <c r="BP29" s="374"/>
      <c r="BQ29" s="374"/>
      <c r="BR29" s="374"/>
      <c r="BS29" s="374"/>
      <c r="BT29" s="374"/>
      <c r="BU29" s="374"/>
      <c r="BV29" s="374"/>
      <c r="BW29" s="374"/>
      <c r="BX29" s="374"/>
      <c r="BY29" s="374"/>
      <c r="BZ29" s="374"/>
      <c r="CA29" s="207"/>
      <c r="CB29" s="207"/>
      <c r="CC29" s="374"/>
      <c r="CD29" s="374"/>
      <c r="CE29" s="374"/>
      <c r="CF29" s="374"/>
      <c r="CG29" s="374"/>
      <c r="CH29" s="374"/>
      <c r="CI29" s="374"/>
      <c r="CJ29" s="374"/>
      <c r="CK29" s="374"/>
      <c r="CL29" s="374"/>
      <c r="CM29" s="374"/>
      <c r="CN29" s="207"/>
      <c r="CO29" s="207"/>
      <c r="CP29" s="374"/>
      <c r="CQ29" s="374"/>
      <c r="CR29" s="374"/>
      <c r="CS29" s="374"/>
      <c r="CT29" s="374"/>
      <c r="CU29" s="374"/>
      <c r="CV29" s="374"/>
      <c r="CW29" s="374"/>
      <c r="CX29" s="374"/>
      <c r="CY29" s="374"/>
      <c r="CZ29" s="374"/>
      <c r="DA29" s="207"/>
      <c r="DB29" s="207"/>
      <c r="DC29" s="374"/>
      <c r="DD29" s="374"/>
      <c r="DE29" s="374"/>
      <c r="DF29" s="374"/>
      <c r="DG29" s="374"/>
      <c r="DH29" s="374"/>
      <c r="DI29" s="374"/>
      <c r="DJ29" s="374"/>
      <c r="DK29" s="374"/>
      <c r="DL29" s="374"/>
      <c r="DM29" s="374"/>
      <c r="DN29" s="207"/>
      <c r="DO29" s="207"/>
      <c r="DP29" s="374"/>
      <c r="DQ29" s="374"/>
      <c r="DR29" s="374"/>
      <c r="DS29" s="374"/>
      <c r="DT29" s="374"/>
      <c r="DU29" s="374"/>
      <c r="DV29" s="374"/>
      <c r="DW29" s="374"/>
      <c r="DX29" s="374"/>
      <c r="DY29" s="374"/>
      <c r="DZ29" s="374"/>
      <c r="EA29" s="207"/>
      <c r="EB29" s="207"/>
      <c r="EC29" s="374"/>
      <c r="ED29" s="374"/>
      <c r="EE29" s="374"/>
      <c r="EF29" s="374"/>
      <c r="EG29" s="374"/>
      <c r="EH29" s="374"/>
      <c r="EI29" s="374"/>
      <c r="EJ29" s="374"/>
      <c r="EK29" s="374"/>
      <c r="EL29" s="374"/>
      <c r="EM29" s="374"/>
      <c r="EN29" s="207"/>
      <c r="EO29" s="207"/>
      <c r="EP29" s="374"/>
      <c r="EQ29" s="374"/>
      <c r="ER29" s="374"/>
      <c r="ES29" s="374"/>
      <c r="ET29" s="374"/>
      <c r="EU29" s="374"/>
      <c r="EV29" s="374"/>
      <c r="EW29" s="374"/>
      <c r="EX29" s="374"/>
      <c r="EY29" s="374"/>
      <c r="EZ29" s="374"/>
      <c r="FA29" s="207"/>
      <c r="FB29" s="207"/>
      <c r="FC29" s="374"/>
      <c r="FD29" s="374"/>
      <c r="FE29" s="374"/>
      <c r="FF29" s="374"/>
      <c r="FG29" s="374"/>
      <c r="FH29" s="374"/>
      <c r="FI29" s="374"/>
      <c r="FJ29" s="374"/>
      <c r="FK29" s="374"/>
      <c r="FL29" s="374"/>
      <c r="FM29" s="374"/>
      <c r="FN29" s="207"/>
      <c r="FO29" s="207"/>
      <c r="FP29" s="374"/>
      <c r="FQ29" s="374"/>
      <c r="FR29" s="374"/>
      <c r="FS29" s="374"/>
      <c r="FT29" s="374"/>
      <c r="FU29" s="374"/>
      <c r="FV29" s="374"/>
      <c r="FW29" s="374"/>
      <c r="FX29" s="374"/>
      <c r="FY29" s="374"/>
      <c r="FZ29" s="374"/>
      <c r="GA29" s="207"/>
      <c r="GB29" s="207"/>
      <c r="GC29" s="374"/>
      <c r="GD29" s="374"/>
      <c r="GE29" s="374"/>
      <c r="GF29" s="374"/>
      <c r="GG29" s="374"/>
      <c r="GH29" s="374"/>
      <c r="GI29" s="374"/>
      <c r="GJ29" s="374"/>
      <c r="GK29" s="374"/>
      <c r="GL29" s="374"/>
      <c r="GM29" s="374"/>
      <c r="GN29" s="207"/>
      <c r="GO29" s="207"/>
      <c r="GP29" s="374"/>
      <c r="GQ29" s="374"/>
      <c r="GR29" s="374"/>
      <c r="GS29" s="374"/>
      <c r="GT29" s="374"/>
      <c r="GU29" s="374"/>
      <c r="GV29" s="374"/>
      <c r="GW29" s="374"/>
      <c r="GX29" s="374"/>
      <c r="GY29" s="374"/>
      <c r="GZ29" s="374"/>
      <c r="HA29" s="207"/>
      <c r="HB29" s="207"/>
      <c r="HC29" s="374"/>
      <c r="HD29" s="374"/>
      <c r="HE29" s="374"/>
      <c r="HF29" s="374"/>
      <c r="HG29" s="374"/>
      <c r="HH29" s="374"/>
      <c r="HI29" s="374"/>
      <c r="HJ29" s="374"/>
      <c r="HK29" s="374"/>
      <c r="HL29" s="374"/>
      <c r="HM29" s="374"/>
      <c r="HN29" s="207"/>
      <c r="HO29" s="207"/>
      <c r="HP29" s="374"/>
      <c r="HQ29" s="374"/>
      <c r="HR29" s="374"/>
      <c r="HS29" s="374"/>
      <c r="HT29" s="374"/>
      <c r="HU29" s="374"/>
      <c r="HV29" s="374"/>
      <c r="HW29" s="374"/>
      <c r="HX29" s="374"/>
      <c r="HY29" s="374"/>
      <c r="HZ29" s="374"/>
      <c r="IA29" s="207"/>
      <c r="IB29" s="207"/>
      <c r="IC29" s="374"/>
      <c r="ID29" s="374"/>
      <c r="IE29" s="374"/>
      <c r="IF29" s="374"/>
      <c r="IG29" s="374"/>
      <c r="IH29" s="374"/>
      <c r="II29" s="374"/>
      <c r="IJ29" s="374"/>
      <c r="IK29" s="374"/>
      <c r="IL29" s="374"/>
      <c r="IM29" s="374"/>
      <c r="IN29" s="207"/>
      <c r="IO29" s="207"/>
      <c r="IP29" s="374"/>
      <c r="IQ29" s="374"/>
      <c r="IR29" s="374"/>
      <c r="IS29" s="374"/>
      <c r="IT29" s="374"/>
      <c r="IU29" s="374"/>
      <c r="IV29" s="374"/>
    </row>
    <row r="30" spans="1:256" x14ac:dyDescent="0.2">
      <c r="A30" s="218"/>
      <c r="B30" s="219"/>
      <c r="C30" s="376"/>
      <c r="D30" s="376"/>
      <c r="E30" s="376"/>
      <c r="F30" s="376"/>
      <c r="G30" s="376"/>
      <c r="H30" s="376"/>
      <c r="I30" s="376"/>
      <c r="J30" s="376"/>
      <c r="K30" s="376"/>
      <c r="L30" s="376"/>
      <c r="M30" s="377"/>
      <c r="N30" s="211"/>
      <c r="O30" s="211"/>
      <c r="P30" s="375"/>
      <c r="Q30" s="375"/>
      <c r="R30" s="375"/>
      <c r="S30" s="375"/>
      <c r="T30" s="375"/>
      <c r="U30" s="375"/>
      <c r="V30" s="375"/>
      <c r="W30" s="375"/>
      <c r="X30" s="375"/>
      <c r="Y30" s="375"/>
      <c r="Z30" s="375"/>
      <c r="AA30" s="207"/>
      <c r="AB30" s="207"/>
      <c r="AC30" s="374"/>
      <c r="AD30" s="374"/>
      <c r="AE30" s="374"/>
      <c r="AF30" s="374"/>
      <c r="AG30" s="374"/>
      <c r="AH30" s="374"/>
      <c r="AI30" s="374"/>
      <c r="AJ30" s="374"/>
      <c r="AK30" s="374"/>
      <c r="AL30" s="374"/>
      <c r="AM30" s="374"/>
      <c r="AN30" s="207"/>
      <c r="AO30" s="207"/>
      <c r="AP30" s="374"/>
      <c r="AQ30" s="374"/>
      <c r="AR30" s="374"/>
      <c r="AS30" s="374"/>
      <c r="AT30" s="374"/>
      <c r="AU30" s="374"/>
      <c r="AV30" s="374"/>
      <c r="AW30" s="374"/>
      <c r="AX30" s="374"/>
      <c r="AY30" s="374"/>
      <c r="AZ30" s="374"/>
      <c r="BA30" s="207"/>
      <c r="BB30" s="207"/>
      <c r="BC30" s="374"/>
      <c r="BD30" s="374"/>
      <c r="BE30" s="374"/>
      <c r="BF30" s="374"/>
      <c r="BG30" s="374"/>
      <c r="BH30" s="374"/>
      <c r="BI30" s="374"/>
      <c r="BJ30" s="374"/>
      <c r="BK30" s="374"/>
      <c r="BL30" s="374"/>
      <c r="BM30" s="374"/>
      <c r="BN30" s="207"/>
      <c r="BO30" s="207"/>
      <c r="BP30" s="374"/>
      <c r="BQ30" s="374"/>
      <c r="BR30" s="374"/>
      <c r="BS30" s="374"/>
      <c r="BT30" s="374"/>
      <c r="BU30" s="374"/>
      <c r="BV30" s="374"/>
      <c r="BW30" s="374"/>
      <c r="BX30" s="374"/>
      <c r="BY30" s="374"/>
      <c r="BZ30" s="374"/>
      <c r="CA30" s="207"/>
      <c r="CB30" s="207"/>
      <c r="CC30" s="374"/>
      <c r="CD30" s="374"/>
      <c r="CE30" s="374"/>
      <c r="CF30" s="374"/>
      <c r="CG30" s="374"/>
      <c r="CH30" s="374"/>
      <c r="CI30" s="374"/>
      <c r="CJ30" s="374"/>
      <c r="CK30" s="374"/>
      <c r="CL30" s="374"/>
      <c r="CM30" s="374"/>
      <c r="CN30" s="207"/>
      <c r="CO30" s="207"/>
      <c r="CP30" s="374"/>
      <c r="CQ30" s="374"/>
      <c r="CR30" s="374"/>
      <c r="CS30" s="374"/>
      <c r="CT30" s="374"/>
      <c r="CU30" s="374"/>
      <c r="CV30" s="374"/>
      <c r="CW30" s="374"/>
      <c r="CX30" s="374"/>
      <c r="CY30" s="374"/>
      <c r="CZ30" s="374"/>
      <c r="DA30" s="207"/>
      <c r="DB30" s="207"/>
      <c r="DC30" s="374"/>
      <c r="DD30" s="374"/>
      <c r="DE30" s="374"/>
      <c r="DF30" s="374"/>
      <c r="DG30" s="374"/>
      <c r="DH30" s="374"/>
      <c r="DI30" s="374"/>
      <c r="DJ30" s="374"/>
      <c r="DK30" s="374"/>
      <c r="DL30" s="374"/>
      <c r="DM30" s="374"/>
      <c r="DN30" s="207"/>
      <c r="DO30" s="207"/>
      <c r="DP30" s="374"/>
      <c r="DQ30" s="374"/>
      <c r="DR30" s="374"/>
      <c r="DS30" s="374"/>
      <c r="DT30" s="374"/>
      <c r="DU30" s="374"/>
      <c r="DV30" s="374"/>
      <c r="DW30" s="374"/>
      <c r="DX30" s="374"/>
      <c r="DY30" s="374"/>
      <c r="DZ30" s="374"/>
      <c r="EA30" s="207"/>
      <c r="EB30" s="207"/>
      <c r="EC30" s="374"/>
      <c r="ED30" s="374"/>
      <c r="EE30" s="374"/>
      <c r="EF30" s="374"/>
      <c r="EG30" s="374"/>
      <c r="EH30" s="374"/>
      <c r="EI30" s="374"/>
      <c r="EJ30" s="374"/>
      <c r="EK30" s="374"/>
      <c r="EL30" s="374"/>
      <c r="EM30" s="374"/>
      <c r="EN30" s="207"/>
      <c r="EO30" s="207"/>
      <c r="EP30" s="374"/>
      <c r="EQ30" s="374"/>
      <c r="ER30" s="374"/>
      <c r="ES30" s="374"/>
      <c r="ET30" s="374"/>
      <c r="EU30" s="374"/>
      <c r="EV30" s="374"/>
      <c r="EW30" s="374"/>
      <c r="EX30" s="374"/>
      <c r="EY30" s="374"/>
      <c r="EZ30" s="374"/>
      <c r="FA30" s="207"/>
      <c r="FB30" s="207"/>
      <c r="FC30" s="374"/>
      <c r="FD30" s="374"/>
      <c r="FE30" s="374"/>
      <c r="FF30" s="374"/>
      <c r="FG30" s="374"/>
      <c r="FH30" s="374"/>
      <c r="FI30" s="374"/>
      <c r="FJ30" s="374"/>
      <c r="FK30" s="374"/>
      <c r="FL30" s="374"/>
      <c r="FM30" s="374"/>
      <c r="FN30" s="207"/>
      <c r="FO30" s="207"/>
      <c r="FP30" s="374"/>
      <c r="FQ30" s="374"/>
      <c r="FR30" s="374"/>
      <c r="FS30" s="374"/>
      <c r="FT30" s="374"/>
      <c r="FU30" s="374"/>
      <c r="FV30" s="374"/>
      <c r="FW30" s="374"/>
      <c r="FX30" s="374"/>
      <c r="FY30" s="374"/>
      <c r="FZ30" s="374"/>
      <c r="GA30" s="207"/>
      <c r="GB30" s="207"/>
      <c r="GC30" s="374"/>
      <c r="GD30" s="374"/>
      <c r="GE30" s="374"/>
      <c r="GF30" s="374"/>
      <c r="GG30" s="374"/>
      <c r="GH30" s="374"/>
      <c r="GI30" s="374"/>
      <c r="GJ30" s="374"/>
      <c r="GK30" s="374"/>
      <c r="GL30" s="374"/>
      <c r="GM30" s="374"/>
      <c r="GN30" s="207"/>
      <c r="GO30" s="207"/>
      <c r="GP30" s="374"/>
      <c r="GQ30" s="374"/>
      <c r="GR30" s="374"/>
      <c r="GS30" s="374"/>
      <c r="GT30" s="374"/>
      <c r="GU30" s="374"/>
      <c r="GV30" s="374"/>
      <c r="GW30" s="374"/>
      <c r="GX30" s="374"/>
      <c r="GY30" s="374"/>
      <c r="GZ30" s="374"/>
      <c r="HA30" s="207"/>
      <c r="HB30" s="207"/>
      <c r="HC30" s="374"/>
      <c r="HD30" s="374"/>
      <c r="HE30" s="374"/>
      <c r="HF30" s="374"/>
      <c r="HG30" s="374"/>
      <c r="HH30" s="374"/>
      <c r="HI30" s="374"/>
      <c r="HJ30" s="374"/>
      <c r="HK30" s="374"/>
      <c r="HL30" s="374"/>
      <c r="HM30" s="374"/>
      <c r="HN30" s="207"/>
      <c r="HO30" s="207"/>
      <c r="HP30" s="374"/>
      <c r="HQ30" s="374"/>
      <c r="HR30" s="374"/>
      <c r="HS30" s="374"/>
      <c r="HT30" s="374"/>
      <c r="HU30" s="374"/>
      <c r="HV30" s="374"/>
      <c r="HW30" s="374"/>
      <c r="HX30" s="374"/>
      <c r="HY30" s="374"/>
      <c r="HZ30" s="374"/>
      <c r="IA30" s="207"/>
      <c r="IB30" s="207"/>
      <c r="IC30" s="374"/>
      <c r="ID30" s="374"/>
      <c r="IE30" s="374"/>
      <c r="IF30" s="374"/>
      <c r="IG30" s="374"/>
      <c r="IH30" s="374"/>
      <c r="II30" s="374"/>
      <c r="IJ30" s="374"/>
      <c r="IK30" s="374"/>
      <c r="IL30" s="374"/>
      <c r="IM30" s="374"/>
      <c r="IN30" s="207"/>
      <c r="IO30" s="207"/>
      <c r="IP30" s="374"/>
      <c r="IQ30" s="374"/>
      <c r="IR30" s="374"/>
      <c r="IS30" s="374"/>
      <c r="IT30" s="374"/>
      <c r="IU30" s="374"/>
      <c r="IV30" s="374"/>
    </row>
    <row r="31" spans="1:256" x14ac:dyDescent="0.2">
      <c r="A31" s="218"/>
      <c r="B31" s="219"/>
      <c r="C31" s="376"/>
      <c r="D31" s="376"/>
      <c r="E31" s="376"/>
      <c r="F31" s="376"/>
      <c r="G31" s="376"/>
      <c r="H31" s="376"/>
      <c r="I31" s="376"/>
      <c r="J31" s="376"/>
      <c r="K31" s="376"/>
      <c r="L31" s="376"/>
      <c r="M31" s="377"/>
      <c r="N31" s="211"/>
      <c r="O31" s="211"/>
      <c r="P31" s="375"/>
      <c r="Q31" s="375"/>
      <c r="R31" s="375"/>
      <c r="S31" s="375"/>
      <c r="T31" s="375"/>
      <c r="U31" s="375"/>
      <c r="V31" s="375"/>
      <c r="W31" s="375"/>
      <c r="X31" s="375"/>
      <c r="Y31" s="375"/>
      <c r="Z31" s="375"/>
      <c r="AA31" s="207"/>
      <c r="AB31" s="207"/>
      <c r="AC31" s="374"/>
      <c r="AD31" s="374"/>
      <c r="AE31" s="374"/>
      <c r="AF31" s="374"/>
      <c r="AG31" s="374"/>
      <c r="AH31" s="374"/>
      <c r="AI31" s="374"/>
      <c r="AJ31" s="374"/>
      <c r="AK31" s="374"/>
      <c r="AL31" s="374"/>
      <c r="AM31" s="374"/>
      <c r="AN31" s="207"/>
      <c r="AO31" s="207"/>
      <c r="AP31" s="374"/>
      <c r="AQ31" s="374"/>
      <c r="AR31" s="374"/>
      <c r="AS31" s="374"/>
      <c r="AT31" s="374"/>
      <c r="AU31" s="374"/>
      <c r="AV31" s="374"/>
      <c r="AW31" s="374"/>
      <c r="AX31" s="374"/>
      <c r="AY31" s="374"/>
      <c r="AZ31" s="374"/>
      <c r="BA31" s="207"/>
      <c r="BB31" s="207"/>
      <c r="BC31" s="374"/>
      <c r="BD31" s="374"/>
      <c r="BE31" s="374"/>
      <c r="BF31" s="374"/>
      <c r="BG31" s="374"/>
      <c r="BH31" s="374"/>
      <c r="BI31" s="374"/>
      <c r="BJ31" s="374"/>
      <c r="BK31" s="374"/>
      <c r="BL31" s="374"/>
      <c r="BM31" s="374"/>
      <c r="BN31" s="207"/>
      <c r="BO31" s="207"/>
      <c r="BP31" s="374"/>
      <c r="BQ31" s="374"/>
      <c r="BR31" s="374"/>
      <c r="BS31" s="374"/>
      <c r="BT31" s="374"/>
      <c r="BU31" s="374"/>
      <c r="BV31" s="374"/>
      <c r="BW31" s="374"/>
      <c r="BX31" s="374"/>
      <c r="BY31" s="374"/>
      <c r="BZ31" s="374"/>
      <c r="CA31" s="207"/>
      <c r="CB31" s="207"/>
      <c r="CC31" s="374"/>
      <c r="CD31" s="374"/>
      <c r="CE31" s="374"/>
      <c r="CF31" s="374"/>
      <c r="CG31" s="374"/>
      <c r="CH31" s="374"/>
      <c r="CI31" s="374"/>
      <c r="CJ31" s="374"/>
      <c r="CK31" s="374"/>
      <c r="CL31" s="374"/>
      <c r="CM31" s="374"/>
      <c r="CN31" s="207"/>
      <c r="CO31" s="207"/>
      <c r="CP31" s="374"/>
      <c r="CQ31" s="374"/>
      <c r="CR31" s="374"/>
      <c r="CS31" s="374"/>
      <c r="CT31" s="374"/>
      <c r="CU31" s="374"/>
      <c r="CV31" s="374"/>
      <c r="CW31" s="374"/>
      <c r="CX31" s="374"/>
      <c r="CY31" s="374"/>
      <c r="CZ31" s="374"/>
      <c r="DA31" s="207"/>
      <c r="DB31" s="207"/>
      <c r="DC31" s="374"/>
      <c r="DD31" s="374"/>
      <c r="DE31" s="374"/>
      <c r="DF31" s="374"/>
      <c r="DG31" s="374"/>
      <c r="DH31" s="374"/>
      <c r="DI31" s="374"/>
      <c r="DJ31" s="374"/>
      <c r="DK31" s="374"/>
      <c r="DL31" s="374"/>
      <c r="DM31" s="374"/>
      <c r="DN31" s="207"/>
      <c r="DO31" s="207"/>
      <c r="DP31" s="374"/>
      <c r="DQ31" s="374"/>
      <c r="DR31" s="374"/>
      <c r="DS31" s="374"/>
      <c r="DT31" s="374"/>
      <c r="DU31" s="374"/>
      <c r="DV31" s="374"/>
      <c r="DW31" s="374"/>
      <c r="DX31" s="374"/>
      <c r="DY31" s="374"/>
      <c r="DZ31" s="374"/>
      <c r="EA31" s="207"/>
      <c r="EB31" s="207"/>
      <c r="EC31" s="374"/>
      <c r="ED31" s="374"/>
      <c r="EE31" s="374"/>
      <c r="EF31" s="374"/>
      <c r="EG31" s="374"/>
      <c r="EH31" s="374"/>
      <c r="EI31" s="374"/>
      <c r="EJ31" s="374"/>
      <c r="EK31" s="374"/>
      <c r="EL31" s="374"/>
      <c r="EM31" s="374"/>
      <c r="EN31" s="207"/>
      <c r="EO31" s="207"/>
      <c r="EP31" s="374"/>
      <c r="EQ31" s="374"/>
      <c r="ER31" s="374"/>
      <c r="ES31" s="374"/>
      <c r="ET31" s="374"/>
      <c r="EU31" s="374"/>
      <c r="EV31" s="374"/>
      <c r="EW31" s="374"/>
      <c r="EX31" s="374"/>
      <c r="EY31" s="374"/>
      <c r="EZ31" s="374"/>
      <c r="FA31" s="207"/>
      <c r="FB31" s="207"/>
      <c r="FC31" s="374"/>
      <c r="FD31" s="374"/>
      <c r="FE31" s="374"/>
      <c r="FF31" s="374"/>
      <c r="FG31" s="374"/>
      <c r="FH31" s="374"/>
      <c r="FI31" s="374"/>
      <c r="FJ31" s="374"/>
      <c r="FK31" s="374"/>
      <c r="FL31" s="374"/>
      <c r="FM31" s="374"/>
      <c r="FN31" s="207"/>
      <c r="FO31" s="207"/>
      <c r="FP31" s="374"/>
      <c r="FQ31" s="374"/>
      <c r="FR31" s="374"/>
      <c r="FS31" s="374"/>
      <c r="FT31" s="374"/>
      <c r="FU31" s="374"/>
      <c r="FV31" s="374"/>
      <c r="FW31" s="374"/>
      <c r="FX31" s="374"/>
      <c r="FY31" s="374"/>
      <c r="FZ31" s="374"/>
      <c r="GA31" s="207"/>
      <c r="GB31" s="207"/>
      <c r="GC31" s="374"/>
      <c r="GD31" s="374"/>
      <c r="GE31" s="374"/>
      <c r="GF31" s="374"/>
      <c r="GG31" s="374"/>
      <c r="GH31" s="374"/>
      <c r="GI31" s="374"/>
      <c r="GJ31" s="374"/>
      <c r="GK31" s="374"/>
      <c r="GL31" s="374"/>
      <c r="GM31" s="374"/>
      <c r="GN31" s="207"/>
      <c r="GO31" s="207"/>
      <c r="GP31" s="374"/>
      <c r="GQ31" s="374"/>
      <c r="GR31" s="374"/>
      <c r="GS31" s="374"/>
      <c r="GT31" s="374"/>
      <c r="GU31" s="374"/>
      <c r="GV31" s="374"/>
      <c r="GW31" s="374"/>
      <c r="GX31" s="374"/>
      <c r="GY31" s="374"/>
      <c r="GZ31" s="374"/>
      <c r="HA31" s="207"/>
      <c r="HB31" s="207"/>
      <c r="HC31" s="374"/>
      <c r="HD31" s="374"/>
      <c r="HE31" s="374"/>
      <c r="HF31" s="374"/>
      <c r="HG31" s="374"/>
      <c r="HH31" s="374"/>
      <c r="HI31" s="374"/>
      <c r="HJ31" s="374"/>
      <c r="HK31" s="374"/>
      <c r="HL31" s="374"/>
      <c r="HM31" s="374"/>
      <c r="HN31" s="207"/>
      <c r="HO31" s="207"/>
      <c r="HP31" s="374"/>
      <c r="HQ31" s="374"/>
      <c r="HR31" s="374"/>
      <c r="HS31" s="374"/>
      <c r="HT31" s="374"/>
      <c r="HU31" s="374"/>
      <c r="HV31" s="374"/>
      <c r="HW31" s="374"/>
      <c r="HX31" s="374"/>
      <c r="HY31" s="374"/>
      <c r="HZ31" s="374"/>
      <c r="IA31" s="207"/>
      <c r="IB31" s="207"/>
      <c r="IC31" s="374"/>
      <c r="ID31" s="374"/>
      <c r="IE31" s="374"/>
      <c r="IF31" s="374"/>
      <c r="IG31" s="374"/>
      <c r="IH31" s="374"/>
      <c r="II31" s="374"/>
      <c r="IJ31" s="374"/>
      <c r="IK31" s="374"/>
      <c r="IL31" s="374"/>
      <c r="IM31" s="374"/>
      <c r="IN31" s="207"/>
      <c r="IO31" s="207"/>
      <c r="IP31" s="374"/>
      <c r="IQ31" s="374"/>
      <c r="IR31" s="374"/>
      <c r="IS31" s="374"/>
      <c r="IT31" s="374"/>
      <c r="IU31" s="374"/>
      <c r="IV31" s="374"/>
    </row>
    <row r="32" spans="1:256" x14ac:dyDescent="0.2">
      <c r="A32" s="218"/>
      <c r="B32" s="219"/>
      <c r="C32" s="376"/>
      <c r="D32" s="376"/>
      <c r="E32" s="376"/>
      <c r="F32" s="376"/>
      <c r="G32" s="376"/>
      <c r="H32" s="376"/>
      <c r="I32" s="376"/>
      <c r="J32" s="376"/>
      <c r="K32" s="376"/>
      <c r="L32" s="376"/>
      <c r="M32" s="377"/>
      <c r="N32" s="223"/>
      <c r="O32" s="223"/>
      <c r="P32" s="386"/>
      <c r="Q32" s="386"/>
      <c r="R32" s="386"/>
      <c r="S32" s="386"/>
      <c r="T32" s="386"/>
      <c r="U32" s="386"/>
      <c r="V32" s="386"/>
      <c r="W32" s="386"/>
      <c r="X32" s="386"/>
      <c r="Y32" s="386"/>
      <c r="Z32" s="387"/>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75"/>
      <c r="Q38" s="375"/>
      <c r="R38" s="375"/>
      <c r="S38" s="375"/>
      <c r="T38" s="375"/>
      <c r="U38" s="375"/>
      <c r="V38" s="375"/>
      <c r="W38" s="375"/>
      <c r="X38" s="375"/>
      <c r="Y38" s="375"/>
      <c r="Z38" s="375"/>
      <c r="AA38" s="207"/>
      <c r="AB38" s="207"/>
      <c r="AC38" s="374"/>
      <c r="AD38" s="374"/>
      <c r="AE38" s="374"/>
      <c r="AF38" s="374"/>
      <c r="AG38" s="374"/>
      <c r="AH38" s="374"/>
      <c r="AI38" s="374"/>
      <c r="AJ38" s="374"/>
      <c r="AK38" s="374"/>
      <c r="AL38" s="374"/>
      <c r="AM38" s="374"/>
      <c r="AN38" s="207"/>
      <c r="AO38" s="207"/>
      <c r="AP38" s="374"/>
      <c r="AQ38" s="374"/>
      <c r="AR38" s="374"/>
      <c r="AS38" s="374"/>
      <c r="AT38" s="374"/>
      <c r="AU38" s="374"/>
      <c r="AV38" s="374"/>
      <c r="AW38" s="374"/>
      <c r="AX38" s="374"/>
      <c r="AY38" s="374"/>
      <c r="AZ38" s="374"/>
      <c r="BA38" s="207"/>
      <c r="BB38" s="207"/>
      <c r="BC38" s="374"/>
      <c r="BD38" s="374"/>
      <c r="BE38" s="374"/>
      <c r="BF38" s="374"/>
      <c r="BG38" s="374"/>
      <c r="BH38" s="374"/>
      <c r="BI38" s="374"/>
      <c r="BJ38" s="374"/>
      <c r="BK38" s="374"/>
      <c r="BL38" s="374"/>
      <c r="BM38" s="374"/>
      <c r="BN38" s="207"/>
      <c r="BO38" s="207"/>
      <c r="BP38" s="374"/>
      <c r="BQ38" s="374"/>
      <c r="BR38" s="374"/>
      <c r="BS38" s="374"/>
      <c r="BT38" s="374"/>
      <c r="BU38" s="374"/>
      <c r="BV38" s="374"/>
      <c r="BW38" s="374"/>
      <c r="BX38" s="374"/>
      <c r="BY38" s="374"/>
      <c r="BZ38" s="374"/>
      <c r="CA38" s="207"/>
      <c r="CB38" s="207"/>
      <c r="CC38" s="374"/>
      <c r="CD38" s="374"/>
      <c r="CE38" s="374"/>
      <c r="CF38" s="374"/>
      <c r="CG38" s="374"/>
      <c r="CH38" s="374"/>
      <c r="CI38" s="374"/>
      <c r="CJ38" s="374"/>
      <c r="CK38" s="374"/>
      <c r="CL38" s="374"/>
      <c r="CM38" s="374"/>
      <c r="CN38" s="207"/>
      <c r="CO38" s="207"/>
      <c r="CP38" s="374"/>
      <c r="CQ38" s="374"/>
      <c r="CR38" s="374"/>
      <c r="CS38" s="374"/>
      <c r="CT38" s="374"/>
      <c r="CU38" s="374"/>
      <c r="CV38" s="374"/>
      <c r="CW38" s="374"/>
      <c r="CX38" s="374"/>
      <c r="CY38" s="374"/>
      <c r="CZ38" s="374"/>
      <c r="DA38" s="207"/>
      <c r="DB38" s="207"/>
      <c r="DC38" s="374"/>
      <c r="DD38" s="374"/>
      <c r="DE38" s="374"/>
      <c r="DF38" s="374"/>
      <c r="DG38" s="374"/>
      <c r="DH38" s="374"/>
      <c r="DI38" s="374"/>
      <c r="DJ38" s="374"/>
      <c r="DK38" s="374"/>
      <c r="DL38" s="374"/>
      <c r="DM38" s="374"/>
      <c r="DN38" s="207"/>
      <c r="DO38" s="207"/>
      <c r="DP38" s="374"/>
      <c r="DQ38" s="374"/>
      <c r="DR38" s="374"/>
      <c r="DS38" s="374"/>
      <c r="DT38" s="374"/>
      <c r="DU38" s="374"/>
      <c r="DV38" s="374"/>
      <c r="DW38" s="374"/>
      <c r="DX38" s="374"/>
      <c r="DY38" s="374"/>
      <c r="DZ38" s="374"/>
      <c r="EA38" s="207"/>
      <c r="EB38" s="207"/>
      <c r="EC38" s="374"/>
      <c r="ED38" s="374"/>
      <c r="EE38" s="374"/>
      <c r="EF38" s="374"/>
      <c r="EG38" s="374"/>
      <c r="EH38" s="374"/>
      <c r="EI38" s="374"/>
      <c r="EJ38" s="374"/>
      <c r="EK38" s="374"/>
      <c r="EL38" s="374"/>
      <c r="EM38" s="374"/>
      <c r="EN38" s="207"/>
      <c r="EO38" s="207"/>
      <c r="EP38" s="374"/>
      <c r="EQ38" s="374"/>
      <c r="ER38" s="374"/>
      <c r="ES38" s="374"/>
      <c r="ET38" s="374"/>
      <c r="EU38" s="374"/>
      <c r="EV38" s="374"/>
      <c r="EW38" s="374"/>
      <c r="EX38" s="374"/>
      <c r="EY38" s="374"/>
      <c r="EZ38" s="374"/>
      <c r="FA38" s="207"/>
      <c r="FB38" s="207"/>
      <c r="FC38" s="374"/>
      <c r="FD38" s="374"/>
      <c r="FE38" s="374"/>
      <c r="FF38" s="374"/>
      <c r="FG38" s="374"/>
      <c r="FH38" s="374"/>
      <c r="FI38" s="374"/>
      <c r="FJ38" s="374"/>
      <c r="FK38" s="374"/>
      <c r="FL38" s="374"/>
      <c r="FM38" s="374"/>
      <c r="FN38" s="207"/>
      <c r="FO38" s="207"/>
      <c r="FP38" s="374"/>
      <c r="FQ38" s="374"/>
      <c r="FR38" s="374"/>
      <c r="FS38" s="374"/>
      <c r="FT38" s="374"/>
      <c r="FU38" s="374"/>
      <c r="FV38" s="374"/>
      <c r="FW38" s="374"/>
      <c r="FX38" s="374"/>
      <c r="FY38" s="374"/>
      <c r="FZ38" s="374"/>
      <c r="GA38" s="207"/>
      <c r="GB38" s="207"/>
      <c r="GC38" s="374"/>
      <c r="GD38" s="374"/>
      <c r="GE38" s="374"/>
      <c r="GF38" s="374"/>
      <c r="GG38" s="374"/>
      <c r="GH38" s="374"/>
      <c r="GI38" s="374"/>
      <c r="GJ38" s="374"/>
      <c r="GK38" s="374"/>
      <c r="GL38" s="374"/>
      <c r="GM38" s="374"/>
      <c r="GN38" s="207"/>
      <c r="GO38" s="207"/>
      <c r="GP38" s="374"/>
      <c r="GQ38" s="374"/>
      <c r="GR38" s="374"/>
      <c r="GS38" s="374"/>
      <c r="GT38" s="374"/>
      <c r="GU38" s="374"/>
      <c r="GV38" s="374"/>
      <c r="GW38" s="374"/>
      <c r="GX38" s="374"/>
      <c r="GY38" s="374"/>
      <c r="GZ38" s="374"/>
      <c r="HA38" s="207"/>
      <c r="HB38" s="207"/>
      <c r="HC38" s="374"/>
      <c r="HD38" s="374"/>
      <c r="HE38" s="374"/>
      <c r="HF38" s="374"/>
      <c r="HG38" s="374"/>
      <c r="HH38" s="374"/>
      <c r="HI38" s="374"/>
      <c r="HJ38" s="374"/>
      <c r="HK38" s="374"/>
      <c r="HL38" s="374"/>
      <c r="HM38" s="374"/>
      <c r="HN38" s="207"/>
      <c r="HO38" s="207"/>
      <c r="HP38" s="374"/>
      <c r="HQ38" s="374"/>
      <c r="HR38" s="374"/>
      <c r="HS38" s="374"/>
      <c r="HT38" s="374"/>
      <c r="HU38" s="374"/>
      <c r="HV38" s="374"/>
      <c r="HW38" s="374"/>
      <c r="HX38" s="374"/>
      <c r="HY38" s="374"/>
      <c r="HZ38" s="374"/>
      <c r="IA38" s="207"/>
      <c r="IB38" s="207"/>
      <c r="IC38" s="374"/>
      <c r="ID38" s="374"/>
      <c r="IE38" s="374"/>
      <c r="IF38" s="374"/>
      <c r="IG38" s="374"/>
      <c r="IH38" s="374"/>
      <c r="II38" s="374"/>
      <c r="IJ38" s="374"/>
      <c r="IK38" s="374"/>
      <c r="IL38" s="374"/>
      <c r="IM38" s="374"/>
      <c r="IN38" s="207"/>
      <c r="IO38" s="207"/>
      <c r="IP38" s="374"/>
      <c r="IQ38" s="374"/>
      <c r="IR38" s="374"/>
      <c r="IS38" s="374"/>
      <c r="IT38" s="374"/>
      <c r="IU38" s="374"/>
      <c r="IV38" s="374"/>
    </row>
    <row r="39" spans="1:256" x14ac:dyDescent="0.2">
      <c r="A39" s="218"/>
      <c r="B39" s="219"/>
      <c r="C39" s="376"/>
      <c r="D39" s="376"/>
      <c r="E39" s="376"/>
      <c r="F39" s="376"/>
      <c r="G39" s="376"/>
      <c r="H39" s="376"/>
      <c r="I39" s="376"/>
      <c r="J39" s="376"/>
      <c r="K39" s="376"/>
      <c r="L39" s="376"/>
      <c r="M39" s="377"/>
      <c r="N39" s="211"/>
      <c r="O39" s="211"/>
      <c r="P39" s="375"/>
      <c r="Q39" s="375"/>
      <c r="R39" s="375"/>
      <c r="S39" s="375"/>
      <c r="T39" s="375"/>
      <c r="U39" s="375"/>
      <c r="V39" s="375"/>
      <c r="W39" s="375"/>
      <c r="X39" s="375"/>
      <c r="Y39" s="375"/>
      <c r="Z39" s="375"/>
      <c r="AA39" s="207"/>
      <c r="AB39" s="207"/>
      <c r="AC39" s="374"/>
      <c r="AD39" s="374"/>
      <c r="AE39" s="374"/>
      <c r="AF39" s="374"/>
      <c r="AG39" s="374"/>
      <c r="AH39" s="374"/>
      <c r="AI39" s="374"/>
      <c r="AJ39" s="374"/>
      <c r="AK39" s="374"/>
      <c r="AL39" s="374"/>
      <c r="AM39" s="374"/>
      <c r="AN39" s="207"/>
      <c r="AO39" s="207"/>
      <c r="AP39" s="374"/>
      <c r="AQ39" s="374"/>
      <c r="AR39" s="374"/>
      <c r="AS39" s="374"/>
      <c r="AT39" s="374"/>
      <c r="AU39" s="374"/>
      <c r="AV39" s="374"/>
      <c r="AW39" s="374"/>
      <c r="AX39" s="374"/>
      <c r="AY39" s="374"/>
      <c r="AZ39" s="374"/>
      <c r="BA39" s="207"/>
      <c r="BB39" s="207"/>
      <c r="BC39" s="374"/>
      <c r="BD39" s="374"/>
      <c r="BE39" s="374"/>
      <c r="BF39" s="374"/>
      <c r="BG39" s="374"/>
      <c r="BH39" s="374"/>
      <c r="BI39" s="374"/>
      <c r="BJ39" s="374"/>
      <c r="BK39" s="374"/>
      <c r="BL39" s="374"/>
      <c r="BM39" s="374"/>
      <c r="BN39" s="207"/>
      <c r="BO39" s="207"/>
      <c r="BP39" s="374"/>
      <c r="BQ39" s="374"/>
      <c r="BR39" s="374"/>
      <c r="BS39" s="374"/>
      <c r="BT39" s="374"/>
      <c r="BU39" s="374"/>
      <c r="BV39" s="374"/>
      <c r="BW39" s="374"/>
      <c r="BX39" s="374"/>
      <c r="BY39" s="374"/>
      <c r="BZ39" s="374"/>
      <c r="CA39" s="207"/>
      <c r="CB39" s="207"/>
      <c r="CC39" s="374"/>
      <c r="CD39" s="374"/>
      <c r="CE39" s="374"/>
      <c r="CF39" s="374"/>
      <c r="CG39" s="374"/>
      <c r="CH39" s="374"/>
      <c r="CI39" s="374"/>
      <c r="CJ39" s="374"/>
      <c r="CK39" s="374"/>
      <c r="CL39" s="374"/>
      <c r="CM39" s="374"/>
      <c r="CN39" s="207"/>
      <c r="CO39" s="207"/>
      <c r="CP39" s="374"/>
      <c r="CQ39" s="374"/>
      <c r="CR39" s="374"/>
      <c r="CS39" s="374"/>
      <c r="CT39" s="374"/>
      <c r="CU39" s="374"/>
      <c r="CV39" s="374"/>
      <c r="CW39" s="374"/>
      <c r="CX39" s="374"/>
      <c r="CY39" s="374"/>
      <c r="CZ39" s="374"/>
      <c r="DA39" s="207"/>
      <c r="DB39" s="207"/>
      <c r="DC39" s="374"/>
      <c r="DD39" s="374"/>
      <c r="DE39" s="374"/>
      <c r="DF39" s="374"/>
      <c r="DG39" s="374"/>
      <c r="DH39" s="374"/>
      <c r="DI39" s="374"/>
      <c r="DJ39" s="374"/>
      <c r="DK39" s="374"/>
      <c r="DL39" s="374"/>
      <c r="DM39" s="374"/>
      <c r="DN39" s="207"/>
      <c r="DO39" s="207"/>
      <c r="DP39" s="374"/>
      <c r="DQ39" s="374"/>
      <c r="DR39" s="374"/>
      <c r="DS39" s="374"/>
      <c r="DT39" s="374"/>
      <c r="DU39" s="374"/>
      <c r="DV39" s="374"/>
      <c r="DW39" s="374"/>
      <c r="DX39" s="374"/>
      <c r="DY39" s="374"/>
      <c r="DZ39" s="374"/>
      <c r="EA39" s="207"/>
      <c r="EB39" s="207"/>
      <c r="EC39" s="374"/>
      <c r="ED39" s="374"/>
      <c r="EE39" s="374"/>
      <c r="EF39" s="374"/>
      <c r="EG39" s="374"/>
      <c r="EH39" s="374"/>
      <c r="EI39" s="374"/>
      <c r="EJ39" s="374"/>
      <c r="EK39" s="374"/>
      <c r="EL39" s="374"/>
      <c r="EM39" s="374"/>
      <c r="EN39" s="207"/>
      <c r="EO39" s="207"/>
      <c r="EP39" s="374"/>
      <c r="EQ39" s="374"/>
      <c r="ER39" s="374"/>
      <c r="ES39" s="374"/>
      <c r="ET39" s="374"/>
      <c r="EU39" s="374"/>
      <c r="EV39" s="374"/>
      <c r="EW39" s="374"/>
      <c r="EX39" s="374"/>
      <c r="EY39" s="374"/>
      <c r="EZ39" s="374"/>
      <c r="FA39" s="207"/>
      <c r="FB39" s="207"/>
      <c r="FC39" s="374"/>
      <c r="FD39" s="374"/>
      <c r="FE39" s="374"/>
      <c r="FF39" s="374"/>
      <c r="FG39" s="374"/>
      <c r="FH39" s="374"/>
      <c r="FI39" s="374"/>
      <c r="FJ39" s="374"/>
      <c r="FK39" s="374"/>
      <c r="FL39" s="374"/>
      <c r="FM39" s="374"/>
      <c r="FN39" s="207"/>
      <c r="FO39" s="207"/>
      <c r="FP39" s="374"/>
      <c r="FQ39" s="374"/>
      <c r="FR39" s="374"/>
      <c r="FS39" s="374"/>
      <c r="FT39" s="374"/>
      <c r="FU39" s="374"/>
      <c r="FV39" s="374"/>
      <c r="FW39" s="374"/>
      <c r="FX39" s="374"/>
      <c r="FY39" s="374"/>
      <c r="FZ39" s="374"/>
      <c r="GA39" s="207"/>
      <c r="GB39" s="207"/>
      <c r="GC39" s="374"/>
      <c r="GD39" s="374"/>
      <c r="GE39" s="374"/>
      <c r="GF39" s="374"/>
      <c r="GG39" s="374"/>
      <c r="GH39" s="374"/>
      <c r="GI39" s="374"/>
      <c r="GJ39" s="374"/>
      <c r="GK39" s="374"/>
      <c r="GL39" s="374"/>
      <c r="GM39" s="374"/>
      <c r="GN39" s="207"/>
      <c r="GO39" s="207"/>
      <c r="GP39" s="374"/>
      <c r="GQ39" s="374"/>
      <c r="GR39" s="374"/>
      <c r="GS39" s="374"/>
      <c r="GT39" s="374"/>
      <c r="GU39" s="374"/>
      <c r="GV39" s="374"/>
      <c r="GW39" s="374"/>
      <c r="GX39" s="374"/>
      <c r="GY39" s="374"/>
      <c r="GZ39" s="374"/>
      <c r="HA39" s="207"/>
      <c r="HB39" s="207"/>
      <c r="HC39" s="374"/>
      <c r="HD39" s="374"/>
      <c r="HE39" s="374"/>
      <c r="HF39" s="374"/>
      <c r="HG39" s="374"/>
      <c r="HH39" s="374"/>
      <c r="HI39" s="374"/>
      <c r="HJ39" s="374"/>
      <c r="HK39" s="374"/>
      <c r="HL39" s="374"/>
      <c r="HM39" s="374"/>
      <c r="HN39" s="207"/>
      <c r="HO39" s="207"/>
      <c r="HP39" s="374"/>
      <c r="HQ39" s="374"/>
      <c r="HR39" s="374"/>
      <c r="HS39" s="374"/>
      <c r="HT39" s="374"/>
      <c r="HU39" s="374"/>
      <c r="HV39" s="374"/>
      <c r="HW39" s="374"/>
      <c r="HX39" s="374"/>
      <c r="HY39" s="374"/>
      <c r="HZ39" s="374"/>
      <c r="IA39" s="207"/>
      <c r="IB39" s="207"/>
      <c r="IC39" s="374"/>
      <c r="ID39" s="374"/>
      <c r="IE39" s="374"/>
      <c r="IF39" s="374"/>
      <c r="IG39" s="374"/>
      <c r="IH39" s="374"/>
      <c r="II39" s="374"/>
      <c r="IJ39" s="374"/>
      <c r="IK39" s="374"/>
      <c r="IL39" s="374"/>
      <c r="IM39" s="374"/>
      <c r="IN39" s="207"/>
      <c r="IO39" s="207"/>
      <c r="IP39" s="374"/>
      <c r="IQ39" s="374"/>
      <c r="IR39" s="374"/>
      <c r="IS39" s="374"/>
      <c r="IT39" s="374"/>
      <c r="IU39" s="374"/>
      <c r="IV39" s="374"/>
    </row>
    <row r="40" spans="1:256" x14ac:dyDescent="0.2">
      <c r="A40" s="218"/>
      <c r="B40" s="219"/>
      <c r="C40" s="376"/>
      <c r="D40" s="376"/>
      <c r="E40" s="376"/>
      <c r="F40" s="376"/>
      <c r="G40" s="376"/>
      <c r="H40" s="376"/>
      <c r="I40" s="376"/>
      <c r="J40" s="376"/>
      <c r="K40" s="376"/>
      <c r="L40" s="376"/>
      <c r="M40" s="377"/>
      <c r="N40" s="211"/>
      <c r="O40" s="211"/>
      <c r="P40" s="375"/>
      <c r="Q40" s="375"/>
      <c r="R40" s="375"/>
      <c r="S40" s="375"/>
      <c r="T40" s="375"/>
      <c r="U40" s="375"/>
      <c r="V40" s="375"/>
      <c r="W40" s="375"/>
      <c r="X40" s="375"/>
      <c r="Y40" s="375"/>
      <c r="Z40" s="375"/>
      <c r="AA40" s="207"/>
      <c r="AB40" s="207"/>
      <c r="AC40" s="374"/>
      <c r="AD40" s="374"/>
      <c r="AE40" s="374"/>
      <c r="AF40" s="374"/>
      <c r="AG40" s="374"/>
      <c r="AH40" s="374"/>
      <c r="AI40" s="374"/>
      <c r="AJ40" s="374"/>
      <c r="AK40" s="374"/>
      <c r="AL40" s="374"/>
      <c r="AM40" s="374"/>
      <c r="AN40" s="207"/>
      <c r="AO40" s="207"/>
      <c r="AP40" s="374"/>
      <c r="AQ40" s="374"/>
      <c r="AR40" s="374"/>
      <c r="AS40" s="374"/>
      <c r="AT40" s="374"/>
      <c r="AU40" s="374"/>
      <c r="AV40" s="374"/>
      <c r="AW40" s="374"/>
      <c r="AX40" s="374"/>
      <c r="AY40" s="374"/>
      <c r="AZ40" s="374"/>
      <c r="BA40" s="207"/>
      <c r="BB40" s="207"/>
      <c r="BC40" s="374"/>
      <c r="BD40" s="374"/>
      <c r="BE40" s="374"/>
      <c r="BF40" s="374"/>
      <c r="BG40" s="374"/>
      <c r="BH40" s="374"/>
      <c r="BI40" s="374"/>
      <c r="BJ40" s="374"/>
      <c r="BK40" s="374"/>
      <c r="BL40" s="374"/>
      <c r="BM40" s="374"/>
      <c r="BN40" s="207"/>
      <c r="BO40" s="207"/>
      <c r="BP40" s="374"/>
      <c r="BQ40" s="374"/>
      <c r="BR40" s="374"/>
      <c r="BS40" s="374"/>
      <c r="BT40" s="374"/>
      <c r="BU40" s="374"/>
      <c r="BV40" s="374"/>
      <c r="BW40" s="374"/>
      <c r="BX40" s="374"/>
      <c r="BY40" s="374"/>
      <c r="BZ40" s="374"/>
      <c r="CA40" s="207"/>
      <c r="CB40" s="207"/>
      <c r="CC40" s="374"/>
      <c r="CD40" s="374"/>
      <c r="CE40" s="374"/>
      <c r="CF40" s="374"/>
      <c r="CG40" s="374"/>
      <c r="CH40" s="374"/>
      <c r="CI40" s="374"/>
      <c r="CJ40" s="374"/>
      <c r="CK40" s="374"/>
      <c r="CL40" s="374"/>
      <c r="CM40" s="374"/>
      <c r="CN40" s="207"/>
      <c r="CO40" s="207"/>
      <c r="CP40" s="374"/>
      <c r="CQ40" s="374"/>
      <c r="CR40" s="374"/>
      <c r="CS40" s="374"/>
      <c r="CT40" s="374"/>
      <c r="CU40" s="374"/>
      <c r="CV40" s="374"/>
      <c r="CW40" s="374"/>
      <c r="CX40" s="374"/>
      <c r="CY40" s="374"/>
      <c r="CZ40" s="374"/>
      <c r="DA40" s="207"/>
      <c r="DB40" s="207"/>
      <c r="DC40" s="374"/>
      <c r="DD40" s="374"/>
      <c r="DE40" s="374"/>
      <c r="DF40" s="374"/>
      <c r="DG40" s="374"/>
      <c r="DH40" s="374"/>
      <c r="DI40" s="374"/>
      <c r="DJ40" s="374"/>
      <c r="DK40" s="374"/>
      <c r="DL40" s="374"/>
      <c r="DM40" s="374"/>
      <c r="DN40" s="207"/>
      <c r="DO40" s="207"/>
      <c r="DP40" s="374"/>
      <c r="DQ40" s="374"/>
      <c r="DR40" s="374"/>
      <c r="DS40" s="374"/>
      <c r="DT40" s="374"/>
      <c r="DU40" s="374"/>
      <c r="DV40" s="374"/>
      <c r="DW40" s="374"/>
      <c r="DX40" s="374"/>
      <c r="DY40" s="374"/>
      <c r="DZ40" s="374"/>
      <c r="EA40" s="207"/>
      <c r="EB40" s="207"/>
      <c r="EC40" s="374"/>
      <c r="ED40" s="374"/>
      <c r="EE40" s="374"/>
      <c r="EF40" s="374"/>
      <c r="EG40" s="374"/>
      <c r="EH40" s="374"/>
      <c r="EI40" s="374"/>
      <c r="EJ40" s="374"/>
      <c r="EK40" s="374"/>
      <c r="EL40" s="374"/>
      <c r="EM40" s="374"/>
      <c r="EN40" s="207"/>
      <c r="EO40" s="207"/>
      <c r="EP40" s="374"/>
      <c r="EQ40" s="374"/>
      <c r="ER40" s="374"/>
      <c r="ES40" s="374"/>
      <c r="ET40" s="374"/>
      <c r="EU40" s="374"/>
      <c r="EV40" s="374"/>
      <c r="EW40" s="374"/>
      <c r="EX40" s="374"/>
      <c r="EY40" s="374"/>
      <c r="EZ40" s="374"/>
      <c r="FA40" s="207"/>
      <c r="FB40" s="207"/>
      <c r="FC40" s="374"/>
      <c r="FD40" s="374"/>
      <c r="FE40" s="374"/>
      <c r="FF40" s="374"/>
      <c r="FG40" s="374"/>
      <c r="FH40" s="374"/>
      <c r="FI40" s="374"/>
      <c r="FJ40" s="374"/>
      <c r="FK40" s="374"/>
      <c r="FL40" s="374"/>
      <c r="FM40" s="374"/>
      <c r="FN40" s="207"/>
      <c r="FO40" s="207"/>
      <c r="FP40" s="374"/>
      <c r="FQ40" s="374"/>
      <c r="FR40" s="374"/>
      <c r="FS40" s="374"/>
      <c r="FT40" s="374"/>
      <c r="FU40" s="374"/>
      <c r="FV40" s="374"/>
      <c r="FW40" s="374"/>
      <c r="FX40" s="374"/>
      <c r="FY40" s="374"/>
      <c r="FZ40" s="374"/>
      <c r="GA40" s="207"/>
      <c r="GB40" s="207"/>
      <c r="GC40" s="374"/>
      <c r="GD40" s="374"/>
      <c r="GE40" s="374"/>
      <c r="GF40" s="374"/>
      <c r="GG40" s="374"/>
      <c r="GH40" s="374"/>
      <c r="GI40" s="374"/>
      <c r="GJ40" s="374"/>
      <c r="GK40" s="374"/>
      <c r="GL40" s="374"/>
      <c r="GM40" s="374"/>
      <c r="GN40" s="207"/>
      <c r="GO40" s="207"/>
      <c r="GP40" s="374"/>
      <c r="GQ40" s="374"/>
      <c r="GR40" s="374"/>
      <c r="GS40" s="374"/>
      <c r="GT40" s="374"/>
      <c r="GU40" s="374"/>
      <c r="GV40" s="374"/>
      <c r="GW40" s="374"/>
      <c r="GX40" s="374"/>
      <c r="GY40" s="374"/>
      <c r="GZ40" s="374"/>
      <c r="HA40" s="207"/>
      <c r="HB40" s="207"/>
      <c r="HC40" s="374"/>
      <c r="HD40" s="374"/>
      <c r="HE40" s="374"/>
      <c r="HF40" s="374"/>
      <c r="HG40" s="374"/>
      <c r="HH40" s="374"/>
      <c r="HI40" s="374"/>
      <c r="HJ40" s="374"/>
      <c r="HK40" s="374"/>
      <c r="HL40" s="374"/>
      <c r="HM40" s="374"/>
      <c r="HN40" s="207"/>
      <c r="HO40" s="207"/>
      <c r="HP40" s="374"/>
      <c r="HQ40" s="374"/>
      <c r="HR40" s="374"/>
      <c r="HS40" s="374"/>
      <c r="HT40" s="374"/>
      <c r="HU40" s="374"/>
      <c r="HV40" s="374"/>
      <c r="HW40" s="374"/>
      <c r="HX40" s="374"/>
      <c r="HY40" s="374"/>
      <c r="HZ40" s="374"/>
      <c r="IA40" s="207"/>
      <c r="IB40" s="207"/>
      <c r="IC40" s="374"/>
      <c r="ID40" s="374"/>
      <c r="IE40" s="374"/>
      <c r="IF40" s="374"/>
      <c r="IG40" s="374"/>
      <c r="IH40" s="374"/>
      <c r="II40" s="374"/>
      <c r="IJ40" s="374"/>
      <c r="IK40" s="374"/>
      <c r="IL40" s="374"/>
      <c r="IM40" s="374"/>
      <c r="IN40" s="207"/>
      <c r="IO40" s="207"/>
      <c r="IP40" s="374"/>
      <c r="IQ40" s="374"/>
      <c r="IR40" s="374"/>
      <c r="IS40" s="374"/>
      <c r="IT40" s="374"/>
      <c r="IU40" s="374"/>
      <c r="IV40" s="374"/>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89"/>
      <c r="D70" s="389"/>
      <c r="E70" s="389"/>
      <c r="F70" s="389"/>
      <c r="G70" s="389"/>
      <c r="H70" s="389"/>
      <c r="I70" s="389"/>
      <c r="J70" s="389"/>
      <c r="K70" s="389"/>
      <c r="L70" s="389"/>
      <c r="M70" s="390"/>
    </row>
    <row r="71" spans="1:13" ht="12" thickTop="1" x14ac:dyDescent="0.2">
      <c r="A71" s="208"/>
      <c r="B71" s="208"/>
      <c r="C71" s="209"/>
      <c r="D71" s="209"/>
      <c r="E71" s="209"/>
      <c r="F71" s="209"/>
      <c r="G71" s="209"/>
      <c r="H71" s="209"/>
      <c r="I71" s="209"/>
      <c r="J71" s="209"/>
      <c r="K71" s="209"/>
      <c r="L71" s="209"/>
    </row>
    <row r="72" spans="1:13" ht="12.75" x14ac:dyDescent="0.2">
      <c r="A72" s="391" t="s">
        <v>832</v>
      </c>
      <c r="B72" s="391"/>
      <c r="C72" s="391"/>
      <c r="D72" s="391"/>
      <c r="E72" s="391"/>
      <c r="F72" s="126"/>
      <c r="G72" s="126"/>
      <c r="H72" s="126"/>
      <c r="I72" s="126"/>
      <c r="J72" s="126"/>
      <c r="K72" s="126"/>
      <c r="L72" s="126"/>
      <c r="M72" s="126"/>
    </row>
    <row r="73" spans="1:13" x14ac:dyDescent="0.2">
      <c r="A73" s="210" t="s">
        <v>764</v>
      </c>
      <c r="B73" s="210" t="s">
        <v>765</v>
      </c>
      <c r="C73" s="388"/>
      <c r="D73" s="388"/>
      <c r="E73" s="388"/>
      <c r="F73" s="388"/>
      <c r="G73" s="388"/>
      <c r="H73" s="388"/>
      <c r="I73" s="388"/>
      <c r="J73" s="388"/>
      <c r="K73" s="388"/>
      <c r="L73" s="388"/>
      <c r="M73" s="388"/>
    </row>
    <row r="74" spans="1:13" x14ac:dyDescent="0.2">
      <c r="A74" s="211"/>
      <c r="B74" s="211"/>
      <c r="C74" s="388"/>
      <c r="D74" s="388"/>
      <c r="E74" s="388"/>
      <c r="F74" s="388"/>
      <c r="G74" s="388"/>
      <c r="H74" s="388"/>
      <c r="I74" s="388"/>
      <c r="J74" s="388"/>
      <c r="K74" s="388"/>
      <c r="L74" s="388"/>
      <c r="M74" s="388"/>
    </row>
    <row r="75" spans="1:13" x14ac:dyDescent="0.2">
      <c r="A75" s="211"/>
      <c r="B75" s="211"/>
      <c r="C75" s="388"/>
      <c r="D75" s="388"/>
      <c r="E75" s="388"/>
      <c r="F75" s="388"/>
      <c r="G75" s="388"/>
      <c r="H75" s="388"/>
      <c r="I75" s="388"/>
      <c r="J75" s="388"/>
      <c r="K75" s="388"/>
      <c r="L75" s="388"/>
      <c r="M75" s="388"/>
    </row>
    <row r="76" spans="1:13" x14ac:dyDescent="0.2">
      <c r="A76" s="211"/>
      <c r="B76" s="211"/>
      <c r="C76" s="388"/>
      <c r="D76" s="388"/>
      <c r="E76" s="388"/>
      <c r="F76" s="388"/>
      <c r="G76" s="388"/>
      <c r="H76" s="388"/>
      <c r="I76" s="388"/>
      <c r="J76" s="388"/>
      <c r="K76" s="388"/>
      <c r="L76" s="388"/>
      <c r="M76" s="388"/>
    </row>
    <row r="77" spans="1:13" x14ac:dyDescent="0.2">
      <c r="A77" s="211"/>
      <c r="B77" s="211"/>
      <c r="C77" s="388"/>
      <c r="D77" s="388"/>
      <c r="E77" s="388"/>
      <c r="F77" s="388"/>
      <c r="G77" s="388"/>
      <c r="H77" s="388"/>
      <c r="I77" s="388"/>
      <c r="J77" s="388"/>
      <c r="K77" s="388"/>
      <c r="L77" s="388"/>
      <c r="M77" s="388"/>
    </row>
    <row r="78" spans="1:13" x14ac:dyDescent="0.2">
      <c r="A78" s="211"/>
      <c r="B78" s="211"/>
      <c r="C78" s="388"/>
      <c r="D78" s="388"/>
      <c r="E78" s="388"/>
      <c r="F78" s="388"/>
      <c r="G78" s="388"/>
      <c r="H78" s="388"/>
      <c r="I78" s="388"/>
      <c r="J78" s="388"/>
      <c r="K78" s="388"/>
      <c r="L78" s="388"/>
      <c r="M78" s="388"/>
    </row>
    <row r="79" spans="1:13" x14ac:dyDescent="0.2">
      <c r="A79" s="211"/>
      <c r="B79" s="211"/>
      <c r="C79" s="388"/>
      <c r="D79" s="388"/>
      <c r="E79" s="388"/>
      <c r="F79" s="388"/>
      <c r="G79" s="388"/>
      <c r="H79" s="388"/>
      <c r="I79" s="388"/>
      <c r="J79" s="388"/>
      <c r="K79" s="388"/>
      <c r="L79" s="388"/>
      <c r="M79" s="388"/>
    </row>
    <row r="80" spans="1:13" x14ac:dyDescent="0.2">
      <c r="A80" s="211"/>
      <c r="B80" s="211"/>
      <c r="C80" s="388"/>
      <c r="D80" s="388"/>
      <c r="E80" s="388"/>
      <c r="F80" s="388"/>
      <c r="G80" s="388"/>
      <c r="H80" s="388"/>
      <c r="I80" s="388"/>
      <c r="J80" s="388"/>
      <c r="K80" s="388"/>
      <c r="L80" s="388"/>
      <c r="M80" s="388"/>
    </row>
    <row r="81" spans="1:13" x14ac:dyDescent="0.2">
      <c r="A81" s="211"/>
      <c r="B81" s="211"/>
      <c r="C81" s="388"/>
      <c r="D81" s="388"/>
      <c r="E81" s="388"/>
      <c r="F81" s="388"/>
      <c r="G81" s="388"/>
      <c r="H81" s="388"/>
      <c r="I81" s="388"/>
      <c r="J81" s="388"/>
      <c r="K81" s="388"/>
      <c r="L81" s="388"/>
      <c r="M81" s="388"/>
    </row>
    <row r="82" spans="1:13" x14ac:dyDescent="0.2">
      <c r="A82" s="211"/>
      <c r="B82" s="211"/>
      <c r="C82" s="388"/>
      <c r="D82" s="388"/>
      <c r="E82" s="388"/>
      <c r="F82" s="388"/>
      <c r="G82" s="388"/>
      <c r="H82" s="388"/>
      <c r="I82" s="388"/>
      <c r="J82" s="388"/>
      <c r="K82" s="388"/>
      <c r="L82" s="388"/>
      <c r="M82" s="388"/>
    </row>
    <row r="83" spans="1:13" x14ac:dyDescent="0.2">
      <c r="A83" s="211"/>
      <c r="B83" s="211"/>
      <c r="C83" s="388"/>
      <c r="D83" s="388"/>
      <c r="E83" s="388"/>
      <c r="F83" s="388"/>
      <c r="G83" s="388"/>
      <c r="H83" s="388"/>
      <c r="I83" s="388"/>
      <c r="J83" s="388"/>
      <c r="K83" s="388"/>
      <c r="L83" s="388"/>
      <c r="M83" s="388"/>
    </row>
    <row r="84" spans="1:13" x14ac:dyDescent="0.2">
      <c r="A84" s="211"/>
      <c r="B84" s="211"/>
      <c r="C84" s="388"/>
      <c r="D84" s="388"/>
      <c r="E84" s="388"/>
      <c r="F84" s="388"/>
      <c r="G84" s="388"/>
      <c r="H84" s="388"/>
      <c r="I84" s="388"/>
      <c r="J84" s="388"/>
      <c r="K84" s="388"/>
      <c r="L84" s="388"/>
      <c r="M84" s="388"/>
    </row>
    <row r="85" spans="1:13" x14ac:dyDescent="0.2">
      <c r="A85" s="211"/>
      <c r="B85" s="211"/>
      <c r="C85" s="388"/>
      <c r="D85" s="388"/>
      <c r="E85" s="388"/>
      <c r="F85" s="388"/>
      <c r="G85" s="388"/>
      <c r="H85" s="388"/>
      <c r="I85" s="388"/>
      <c r="J85" s="388"/>
      <c r="K85" s="388"/>
      <c r="L85" s="388"/>
      <c r="M85" s="388"/>
    </row>
    <row r="86" spans="1:13" x14ac:dyDescent="0.2">
      <c r="A86" s="211"/>
      <c r="B86" s="211"/>
      <c r="C86" s="388"/>
      <c r="D86" s="388"/>
      <c r="E86" s="388"/>
      <c r="F86" s="388"/>
      <c r="G86" s="388"/>
      <c r="H86" s="388"/>
      <c r="I86" s="388"/>
      <c r="J86" s="388"/>
      <c r="K86" s="388"/>
      <c r="L86" s="388"/>
      <c r="M86" s="388"/>
    </row>
    <row r="87" spans="1:13" x14ac:dyDescent="0.2">
      <c r="A87" s="211"/>
      <c r="B87" s="211"/>
      <c r="C87" s="388"/>
      <c r="D87" s="388"/>
      <c r="E87" s="388"/>
      <c r="F87" s="388"/>
      <c r="G87" s="388"/>
      <c r="H87" s="388"/>
      <c r="I87" s="388"/>
      <c r="J87" s="388"/>
      <c r="K87" s="388"/>
      <c r="L87" s="388"/>
      <c r="M87" s="388"/>
    </row>
    <row r="88" spans="1:13" x14ac:dyDescent="0.2">
      <c r="A88" s="211"/>
      <c r="B88" s="211"/>
      <c r="C88" s="388"/>
      <c r="D88" s="388"/>
      <c r="E88" s="388"/>
      <c r="F88" s="388"/>
      <c r="G88" s="388"/>
      <c r="H88" s="388"/>
      <c r="I88" s="388"/>
      <c r="J88" s="388"/>
      <c r="K88" s="388"/>
      <c r="L88" s="388"/>
      <c r="M88" s="388"/>
    </row>
    <row r="89" spans="1:13" x14ac:dyDescent="0.2">
      <c r="A89" s="211"/>
      <c r="B89" s="211"/>
      <c r="C89" s="388"/>
      <c r="D89" s="388"/>
      <c r="E89" s="388"/>
      <c r="F89" s="388"/>
      <c r="G89" s="388"/>
      <c r="H89" s="388"/>
      <c r="I89" s="388"/>
      <c r="J89" s="388"/>
      <c r="K89" s="388"/>
      <c r="L89" s="388"/>
      <c r="M89" s="388"/>
    </row>
    <row r="90" spans="1:13" x14ac:dyDescent="0.2">
      <c r="A90" s="211"/>
      <c r="B90" s="211"/>
      <c r="C90" s="388"/>
      <c r="D90" s="388"/>
      <c r="E90" s="388"/>
      <c r="F90" s="388"/>
      <c r="G90" s="388"/>
      <c r="H90" s="388"/>
      <c r="I90" s="388"/>
      <c r="J90" s="388"/>
      <c r="K90" s="388"/>
      <c r="L90" s="388"/>
      <c r="M90" s="38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Leclerc, Ronald</cp:lastModifiedBy>
  <cp:lastPrinted>2021-05-05T12:20:34Z</cp:lastPrinted>
  <dcterms:created xsi:type="dcterms:W3CDTF">1997-12-04T19:04:30Z</dcterms:created>
  <dcterms:modified xsi:type="dcterms:W3CDTF">2021-12-21T15:44:04Z</dcterms:modified>
</cp:coreProperties>
</file>