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1" i="2"/>
  <c r="E124"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H653" i="1"/>
  <c r="G654" i="1"/>
  <c r="H654" i="1"/>
  <c r="G655" i="1"/>
  <c r="H655" i="1"/>
  <c r="H656" i="1"/>
  <c r="I170" i="1"/>
  <c r="G477" i="1" l="1"/>
  <c r="G62" i="2"/>
  <c r="E125" i="2"/>
  <c r="C12" i="10"/>
  <c r="J656" i="1"/>
  <c r="J652" i="1"/>
  <c r="J258" i="1"/>
  <c r="J272" i="1" s="1"/>
  <c r="E123" i="2"/>
  <c r="E119" i="2"/>
  <c r="E110" i="2"/>
  <c r="E13" i="13"/>
  <c r="C13" i="13" s="1"/>
  <c r="H409" i="1"/>
  <c r="H645" i="1" s="1"/>
  <c r="G339" i="1"/>
  <c r="G353" i="1" s="1"/>
  <c r="G662" i="1"/>
  <c r="J572" i="1"/>
  <c r="H477" i="1"/>
  <c r="H625" i="1" s="1"/>
  <c r="J625" i="1" s="1"/>
  <c r="D50" i="2"/>
  <c r="G553" i="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J620" i="1"/>
  <c r="D103" i="2"/>
  <c r="I140" i="1"/>
  <c r="A22" i="12"/>
  <c r="H649" i="1"/>
  <c r="J653" i="1"/>
  <c r="G572" i="1"/>
  <c r="I435" i="1"/>
  <c r="G435" i="1"/>
  <c r="I664" i="1"/>
  <c r="H661" i="1" l="1"/>
  <c r="E115" i="2"/>
  <c r="H194" i="1"/>
  <c r="G630" i="1" s="1"/>
  <c r="J630" i="1" s="1"/>
  <c r="D51" i="2"/>
  <c r="C81" i="2"/>
  <c r="L572" i="1"/>
  <c r="H665" i="1"/>
  <c r="H668" i="1" s="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<sst xmlns="http://schemas.openxmlformats.org/spreadsheetml/2006/main" count="5577" uniqueCount="1676">
  <si>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</si>
  <si>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</si>
  <si>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</si>
  <si>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</si>
  <si>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</si>
  <si>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</si>
  <si>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</si>
  <si>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</si>
  <si>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</si>
  <si>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</si>
  <si>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</si>
  <si>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</si>
  <si>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</si>
  <si>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</si>
  <si>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</si>
  <si>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</si>
  <si>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</si>
  <si>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</si>
  <si>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</si>
  <si>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</si>
  <si>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</si>
  <si>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</si>
  <si>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</si>
  <si>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</si>
  <si>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</si>
  <si>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</si>
  <si>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</si>
  <si>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</si>
  <si>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</si>
  <si>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</si>
  <si>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</si>
  <si>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</si>
  <si>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</si>
  <si>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</si>
  <si>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</si>
  <si>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</si>
  <si>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</si>
  <si>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</si>
  <si>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</si>
  <si>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</si>
  <si>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</si>
  <si>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</si>
  <si>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</si>
  <si>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</si>
  <si>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</si>
  <si>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</si>
  <si>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</si>
  <si>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</si>
  <si>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</si>
  <si>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</si>
  <si>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</si>
  <si>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</si>
  <si>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</si>
  <si>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</si>
  <si>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</si>
  <si>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</si>
  <si>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</si>
  <si>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</si>
  <si>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</si>
  <si>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</si>
  <si>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</si>
  <si>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</si>
  <si>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</si>
  <si>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</si>
  <si>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</si>
  <si>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</si>
  <si>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</si>
  <si>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</si>
  <si>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</si>
  <si>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</si>
  <si>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</si>
  <si>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</si>
  <si>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</si>
  <si>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</si>
  <si>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</si>
  <si>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</si>
  <si>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</si>
  <si>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</si>
  <si>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</si>
  <si>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</si>
  <si>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</si>
  <si>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</si>
  <si>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</si>
  <si>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</si>
  <si>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</si>
  <si>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</si>
  <si>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</si>
  <si>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</si>
  <si>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</si>
  <si>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</si>
  <si>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</si>
  <si>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</si>
  <si>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</si>
  <si>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</si>
  <si>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</si>
  <si>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</si>
  <si>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</si>
  <si>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</si>
  <si>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</si>
  <si>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</si>
  <si>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</si>
  <si>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</si>
  <si>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</si>
  <si>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</si>
  <si>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</si>
  <si>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</si>
  <si>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</si>
  <si>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</si>
  <si>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</si>
  <si>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</si>
  <si>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</si>
  <si>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</si>
  <si>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</si>
  <si>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</si>
  <si>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</si>
  <si>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</si>
  <si>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</si>
  <si>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</si>
  <si>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</si>
  <si>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</si>
  <si>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</si>
  <si>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</si>
  <si>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</si>
  <si>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</si>
  <si>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</si>
  <si>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</si>
  <si>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</si>
  <si>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</si>
  <si>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</si>
  <si>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</si>
  <si>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</si>
  <si>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</si>
  <si>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</si>
  <si>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</si>
  <si>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</si>
  <si>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</si>
  <si>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</si>
  <si>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</si>
  <si>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</si>
  <si>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</si>
  <si>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</si>
  <si>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</si>
  <si>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</si>
  <si>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</si>
  <si>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</si>
  <si>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</si>
  <si>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</si>
  <si>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</si>
  <si>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</si>
  <si>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</si>
  <si>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</si>
  <si>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</si>
  <si>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</si>
  <si>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</si>
  <si>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</si>
  <si>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</si>
  <si>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</si>
  <si>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</si>
  <si>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</si>
  <si>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</si>
  <si>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</si>
  <si>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</si>
  <si>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</si>
  <si>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</si>
  <si>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</si>
  <si>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</si>
  <si>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</si>
  <si>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</si>
  <si>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</si>
  <si>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</si>
  <si>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</si>
  <si>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</si>
  <si>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</si>
  <si>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</si>
  <si>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</si>
  <si>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</si>
  <si>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</si>
  <si>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</si>
  <si>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</si>
  <si>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</si>
  <si>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</si>
  <si>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</si>
  <si>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</si>
  <si>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</si>
  <si>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</si>
  <si>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</si>
  <si>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</si>
  <si>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</si>
  <si>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</si>
  <si>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</si>
  <si>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</si>
  <si>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</si>
  <si>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</si>
  <si>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</si>
  <si>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</si>
  <si>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</si>
  <si>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</si>
  <si>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</si>
  <si>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</si>
  <si>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</si>
  <si>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</si>
  <si>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</si>
  <si>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</si>
  <si>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</si>
  <si>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</si>
  <si>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</si>
  <si>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</si>
  <si>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</si>
  <si>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</si>
  <si>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</si>
  <si>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</si>
  <si>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</si>
  <si>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</si>
  <si>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</si>
  <si>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</si>
  <si>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</si>
  <si>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</si>
  <si>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</si>
  <si>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</si>
  <si>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</si>
  <si>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</si>
  <si>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</si>
  <si>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</si>
  <si>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</si>
  <si>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</si>
  <si>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</si>
  <si>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</si>
  <si>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</si>
  <si>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</si>
  <si>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</si>
  <si>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</si>
  <si>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</si>
  <si>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</si>
  <si>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</si>
  <si>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</si>
  <si>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</si>
  <si>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</si>
  <si>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</si>
  <si>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</si>
  <si>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</si>
  <si>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</si>
  <si>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</si>
  <si>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</si>
  <si>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</si>
  <si>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</si>
  <si>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</si>
  <si>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</si>
  <si>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</si>
  <si>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</si>
  <si>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</si>
  <si>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</si>
  <si>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</si>
  <si>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</si>
  <si>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</si>
  <si>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</si>
  <si>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</si>
  <si>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</si>
  <si>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</si>
  <si>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</si>
  <si>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</si>
  <si>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</si>
  <si>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</si>
  <si>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</si>
  <si>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</si>
  <si>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</si>
  <si>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</si>
  <si>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</si>
  <si>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</si>
  <si>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</si>
  <si>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</si>
  <si>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</si>
  <si>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</si>
  <si>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</si>
  <si>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</si>
  <si>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</si>
  <si>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</si>
  <si>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</si>
  <si>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</si>
  <si>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</si>
  <si>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</si>
  <si>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</si>
  <si>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</si>
  <si>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</si>
  <si>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</si>
  <si>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</si>
  <si>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</si>
  <si>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</si>
  <si>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</si>
  <si>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</si>
  <si>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</si>
  <si>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</si>
  <si>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</si>
  <si>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</si>
  <si>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</si>
  <si>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</si>
  <si>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</si>
  <si>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</si>
  <si>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</si>
  <si>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</si>
  <si>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</si>
  <si>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</si>
  <si>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</si>
  <si>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</si>
  <si>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</si>
  <si>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</si>
  <si>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</si>
  <si>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</si>
  <si>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</si>
  <si>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</si>
  <si>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</si>
  <si>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</si>
  <si>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</si>
  <si>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</si>
  <si>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</si>
  <si>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</si>
  <si>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</si>
  <si>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</si>
  <si>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</si>
  <si>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</si>
  <si>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</si>
  <si>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</si>
  <si>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</si>
  <si>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</si>
  <si>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</si>
  <si>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</si>
  <si>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</si>
  <si>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</si>
  <si>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</si>
  <si>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</si>
  <si>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</si>
  <si>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</si>
  <si>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</si>
  <si>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</si>
  <si>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</si>
  <si>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</si>
  <si>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</si>
  <si>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</si>
  <si>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</si>
  <si>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</si>
  <si>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</si>
  <si>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</si>
  <si>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</si>
  <si>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</si>
  <si>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</si>
  <si>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</si>
  <si>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</si>
  <si>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</si>
  <si>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</si>
  <si>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</si>
  <si>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</si>
  <si>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</si>
  <si>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</si>
  <si>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</si>
  <si>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</si>
  <si>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</si>
  <si>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</si>
  <si>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</si>
  <si>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</si>
  <si>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</si>
  <si>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</si>
  <si>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</si>
  <si>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</si>
  <si>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</si>
  <si>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</si>
  <si>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</si>
  <si>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</si>
  <si>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</si>
  <si>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</si>
  <si>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</si>
  <si>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</si>
  <si>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</si>
  <si>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</si>
  <si>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</si>
  <si>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</si>
  <si>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</si>
  <si>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</si>
  <si>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</si>
  <si>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</si>
  <si>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</si>
  <si>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</si>
  <si>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</si>
  <si>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</si>
  <si>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</si>
  <si>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</si>
  <si>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</si>
  <si>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</si>
  <si>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</si>
  <si>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</si>
  <si>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</si>
  <si>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</si>
  <si>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</si>
  <si>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</si>
  <si>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</si>
  <si>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</si>
  <si>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</si>
  <si>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</si>
  <si>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</si>
  <si>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</si>
  <si>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</si>
  <si>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</si>
  <si>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</si>
  <si>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</si>
  <si>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</si>
  <si>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</si>
  <si>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</si>
  <si>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</si>
  <si>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</si>
  <si>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</si>
  <si>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</si>
  <si>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</si>
  <si>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</si>
  <si>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</si>
  <si>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</si>
  <si>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</si>
  <si>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</si>
  <si>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</si>
  <si>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</si>
  <si>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</si>
  <si>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</si>
  <si>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</si>
  <si>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</si>
  <si>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</si>
  <si>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</si>
  <si>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</si>
  <si>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</si>
  <si>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</si>
  <si>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</si>
  <si>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</si>
  <si>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</si>
  <si>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</si>
  <si>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</si>
  <si>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</si>
  <si>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</si>
  <si>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</si>
  <si>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</si>
  <si>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</si>
  <si>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</si>
  <si>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</si>
  <si>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</si>
  <si>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</si>
  <si>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</si>
  <si>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</si>
  <si>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</si>
  <si>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</si>
  <si>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</si>
  <si>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</si>
  <si>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</si>
  <si>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</si>
  <si>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</si>
  <si>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</si>
  <si>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</si>
  <si>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</si>
  <si>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</si>
  <si>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</si>
  <si>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</si>
  <si>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</si>
  <si>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</si>
  <si>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</si>
  <si>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</si>
  <si>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</si>
  <si>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</si>
  <si>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</si>
  <si>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</si>
  <si>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</si>
  <si>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</si>
  <si>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</si>
  <si>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</si>
  <si>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</si>
  <si>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</si>
  <si>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</si>
  <si>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</si>
  <si>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</si>
  <si>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</si>
  <si>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</si>
  <si>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</si>
  <si>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</si>
  <si>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</si>
  <si>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</si>
  <si>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</si>
  <si>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</si>
  <si>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</si>
  <si>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</si>
  <si>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</si>
  <si>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</si>
  <si>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</si>
  <si>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</si>
  <si>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</si>
  <si>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</si>
  <si>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</si>
  <si>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</si>
  <si>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</si>
  <si>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</si>
  <si>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</si>
  <si>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</si>
  <si>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</si>
  <si>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</si>
  <si>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</si>
  <si>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</si>
  <si>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</si>
  <si>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</si>
  <si>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</si>
  <si>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</si>
  <si>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</si>
  <si>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</si>
  <si>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</si>
  <si>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</si>
  <si>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</si>
  <si>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</si>
  <si>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</si>
  <si>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</si>
  <si>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</si>
  <si>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</si>
  <si>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</si>
  <si>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</si>
  <si>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</si>
  <si>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</si>
  <si>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</si>
  <si>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</si>
  <si>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</si>
  <si>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</si>
  <si>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</si>
  <si>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</si>
  <si>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</si>
  <si>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</si>
  <si>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</si>
  <si>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</si>
  <si>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</si>
  <si>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</si>
  <si>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</si>
  <si>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</si>
  <si>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</si>
  <si>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</si>
  <si>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</si>
  <si>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</si>
  <si>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</si>
  <si>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</si>
  <si>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</si>
  <si>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</si>
  <si>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</si>
  <si>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</si>
  <si>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</si>
  <si>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</si>
  <si>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</si>
  <si>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</si>
  <si>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</si>
  <si>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</si>
  <si>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</si>
  <si>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</si>
  <si>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</si>
  <si>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</si>
  <si>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</si>
  <si>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</si>
  <si>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</si>
  <si>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</si>
  <si>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</si>
  <si>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</si>
  <si>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</si>
  <si>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</si>
  <si>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</si>
  <si>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</si>
  <si>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</si>
  <si>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</si>
  <si>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</si>
  <si>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</si>
  <si>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</si>
  <si>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</si>
  <si>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</si>
  <si>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</si>
  <si>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</si>
  <si>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</si>
  <si>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</si>
  <si>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</si>
  <si>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</si>
  <si>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</si>
  <si>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</si>
  <si>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</si>
  <si>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</si>
  <si>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</si>
  <si>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</si>
  <si>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</si>
  <si>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</si>
  <si>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</si>
  <si>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</si>
  <si>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</si>
  <si>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</si>
  <si>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</si>
  <si>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</si>
  <si>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</si>
  <si>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</si>
  <si>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</si>
  <si>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</si>
  <si>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</si>
  <si>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</si>
  <si>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</si>
  <si>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</si>
  <si>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</si>
  <si>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</si>
  <si>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</si>
  <si>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</si>
  <si>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</si>
  <si>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</si>
  <si>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</si>
  <si>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</si>
  <si>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</si>
  <si>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</si>
  <si>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</si>
  <si>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</si>
  <si>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</si>
  <si>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</si>
  <si>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</si>
  <si>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</si>
  <si>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</si>
  <si>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</si>
  <si>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</si>
  <si>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</si>
  <si>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</si>
  <si>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</si>
  <si>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</si>
  <si>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</si>
  <si>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</si>
  <si>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</si>
  <si>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</si>
  <si>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</si>
  <si>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</si>
  <si>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</si>
  <si>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</si>
  <si>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</si>
  <si>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</si>
  <si>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</si>
  <si>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</si>
  <si>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</si>
  <si>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</si>
  <si>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</si>
  <si>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</si>
  <si>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</si>
  <si>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</si>
  <si>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</si>
  <si>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</si>
  <si>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</si>
  <si>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</si>
  <si>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</si>
  <si>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</si>
  <si>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</si>
  <si>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</si>
  <si>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</si>
  <si>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</si>
  <si>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</si>
  <si>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</si>
  <si>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</si>
  <si>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</si>
  <si>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</si>
  <si>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</si>
  <si>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</si>
  <si>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</si>
  <si>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</si>
  <si>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</si>
  <si>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</si>
  <si>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</si>
  <si>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</si>
  <si>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</si>
  <si>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</si>
  <si>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</si>
  <si>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</si>
  <si>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</si>
  <si>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</si>
  <si>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</si>
  <si>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</si>
  <si>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</si>
  <si>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</si>
  <si>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</si>
  <si>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</si>
  <si>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</si>
  <si>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</si>
  <si>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</si>
  <si>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</si>
  <si>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</si>
  <si>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</si>
  <si>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</si>
  <si>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</si>
  <si>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</si>
  <si>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</si>
  <si>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</si>
  <si>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</si>
  <si>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</si>
  <si>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</si>
  <si>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</si>
  <si>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</si>
  <si>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</si>
  <si>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</si>
  <si>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</si>
  <si>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</si>
  <si>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</si>
  <si>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</si>
  <si>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</si>
  <si>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</si>
  <si>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</si>
  <si>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</si>
  <si>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</si>
  <si>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</si>
  <si>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</si>
  <si>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</si>
  <si>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</si>
  <si>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</si>
  <si>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</si>
  <si>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</si>
  <si>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</si>
  <si>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</si>
  <si>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</si>
  <si>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</si>
  <si>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</si>
  <si>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</si>
  <si>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</si>
  <si>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</si>
  <si>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</si>
  <si>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</si>
  <si>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</si>
  <si>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</si>
  <si>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</si>
  <si>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</si>
  <si>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</si>
  <si>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</si>
  <si>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</si>
  <si>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</si>
  <si>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</si>
  <si>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</si>
  <si>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</si>
  <si>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</si>
  <si>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</si>
  <si>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</si>
  <si>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</si>
  <si>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</si>
  <si>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</si>
  <si>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</si>
  <si>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</si>
  <si>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</si>
  <si>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</si>
  <si>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</si>
  <si>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</si>
  <si>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</si>
  <si>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</si>
  <si>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</si>
  <si>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</si>
  <si>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</si>
  <si>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</si>
  <si>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</si>
  <si>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</si>
  <si>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</si>
  <si>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</si>
  <si>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</si>
  <si>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</si>
  <si>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</si>
  <si>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</si>
  <si>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</si>
  <si>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</si>
  <si>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</si>
  <si>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</si>
  <si>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</si>
  <si>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</si>
  <si>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</si>
  <si>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</si>
  <si>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</si>
  <si>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</si>
  <si>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</si>
  <si>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</si>
  <si>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</si>
  <si>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</si>
  <si>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</si>
  <si>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</si>
  <si>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</si>
  <si>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</si>
  <si>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</si>
  <si>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</si>
  <si>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</si>
  <si>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</si>
  <si>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</si>
  <si>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</si>
  <si>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</si>
  <si>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</si>
  <si>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</si>
  <si>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</si>
  <si>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</si>
  <si>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</si>
  <si>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</si>
  <si>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</si>
  <si>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</si>
  <si>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</si>
  <si>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</si>
  <si>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</si>
  <si>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</si>
  <si>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</si>
  <si>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</si>
  <si>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</si>
  <si>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</si>
  <si>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</si>
  <si>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</si>
  <si>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</si>
  <si>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</si>
  <si>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</si>
  <si>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</si>
  <si>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</si>
  <si>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</si>
  <si>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</si>
  <si>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</si>
  <si>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</si>
  <si>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</si>
  <si>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</si>
  <si>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</si>
  <si>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</si>
  <si>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</si>
  <si>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</si>
  <si>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</si>
  <si>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</si>
  <si>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</si>
  <si>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</si>
  <si>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</si>
  <si>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</si>
  <si>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</si>
  <si>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</si>
  <si>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</si>
  <si>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</si>
  <si>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</si>
  <si>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</si>
  <si>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</si>
  <si>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</si>
  <si>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</si>
  <si>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</si>
  <si>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</si>
  <si>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</si>
  <si>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</si>
  <si>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</si>
  <si>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</si>
  <si>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</si>
  <si>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</si>
  <si>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</si>
  <si>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</si>
  <si>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</si>
  <si>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</si>
  <si>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</si>
  <si>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</si>
  <si>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</si>
  <si>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</si>
  <si>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</si>
  <si>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</si>
  <si>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</si>
  <si>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</si>
  <si>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</si>
  <si>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</si>
  <si>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</si>
  <si>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</si>
  <si>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</si>
  <si>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</si>
  <si>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</si>
  <si>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</si>
  <si>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</si>
  <si>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</si>
  <si>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</si>
  <si>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</si>
  <si>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</si>
  <si>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</si>
  <si>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</si>
  <si>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</si>
  <si>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</si>
  <si>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</si>
  <si>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</si>
  <si>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</si>
  <si>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</si>
  <si>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</si>
  <si>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</si>
  <si>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</si>
  <si>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</si>
  <si>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</si>
  <si>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</si>
  <si>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</si>
  <si>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</si>
  <si>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</si>
  <si>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</si>
  <si>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</si>
  <si>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</si>
  <si>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</si>
  <si>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</si>
  <si>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</si>
  <si>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</si>
  <si>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</si>
  <si>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</si>
  <si>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</si>
  <si>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</si>
  <si>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</si>
  <si>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</si>
  <si>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</si>
  <si>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</si>
  <si>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</si>
  <si>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</si>
  <si>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</si>
  <si>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</si>
  <si>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</si>
  <si>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</si>
  <si>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</si>
  <si>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</si>
  <si>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</si>
  <si>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</si>
  <si>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</si>
  <si>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</si>
  <si>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</si>
  <si>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</si>
  <si>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</si>
  <si>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</si>
  <si>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</si>
  <si>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</si>
  <si>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</si>
  <si>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</si>
  <si>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</si>
  <si>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</si>
  <si>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</si>
  <si>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</si>
  <si>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</si>
  <si>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</si>
  <si>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</si>
  <si>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</si>
  <si>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</si>
  <si>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</si>
  <si>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</si>
  <si>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</si>
  <si>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</si>
  <si>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</si>
  <si>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</si>
  <si>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</si>
  <si>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</si>
  <si>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</si>
  <si>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</si>
  <si>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</si>
  <si>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</si>
  <si>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</si>
  <si>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</si>
  <si>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</si>
  <si>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</si>
  <si>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</si>
  <si>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</si>
  <si>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</si>
  <si>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</si>
  <si>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</si>
  <si>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</si>
  <si>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</si>
  <si>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</si>
  <si>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</si>
  <si>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</si>
  <si>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</si>
  <si>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</si>
  <si>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</si>
  <si>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</si>
  <si>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</si>
  <si>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</si>
  <si>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</si>
  <si>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</si>
  <si>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</si>
  <si>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</si>
  <si>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</si>
  <si>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</si>
  <si>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</si>
  <si>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</si>
  <si>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</si>
  <si>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</si>
  <si>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</si>
  <si>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</si>
  <si>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</si>
  <si>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</si>
  <si>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</si>
  <si>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</si>
  <si>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</si>
  <si>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</si>
  <si>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</si>
  <si>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</si>
  <si>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</si>
  <si>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</si>
  <si>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</si>
  <si>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</si>
  <si>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</si>
  <si>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</si>
  <si>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</si>
  <si>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</si>
  <si>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</si>
  <si>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</si>
  <si>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</si>
  <si>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</si>
  <si>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</si>
  <si>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</si>
  <si>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</si>
  <si>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</si>
  <si>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</si>
  <si>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</si>
  <si>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</si>
  <si>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</si>
  <si>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</si>
  <si>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</si>
  <si>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</si>
  <si>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</si>
  <si>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</si>
  <si>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</si>
  <si>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</si>
  <si>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</si>
  <si>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</si>
  <si>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</si>
  <si>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</si>
  <si>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</si>
  <si>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</si>
  <si>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</si>
  <si>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</si>
  <si>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</si>
  <si>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</si>
  <si>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</si>
  <si>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</si>
  <si>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</si>
  <si>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</si>
  <si>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</si>
  <si>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</si>
  <si>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</si>
  <si>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</si>
  <si>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</si>
  <si>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</si>
  <si>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</si>
  <si>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</si>
  <si>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</si>
  <si>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</si>
  <si>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</si>
  <si>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</si>
  <si>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</si>
  <si>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</si>
  <si>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</si>
  <si>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</si>
  <si>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</si>
  <si>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</si>
  <si>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</si>
  <si>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</si>
  <si>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</si>
  <si>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</si>
  <si>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</si>
  <si>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</si>
  <si>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</si>
  <si>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</si>
  <si>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</si>
  <si>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</si>
  <si>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</si>
  <si>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</si>
  <si>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</si>
  <si>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</si>
  <si>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</si>
  <si>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</si>
  <si>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</si>
  <si>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</si>
  <si>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</si>
  <si>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</si>
  <si>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</si>
  <si>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</si>
  <si>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</si>
  <si>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</si>
  <si>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</si>
  <si>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</si>
  <si>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</si>
  <si>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</si>
  <si>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</si>
  <si>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</si>
  <si>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</si>
  <si>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</si>
  <si>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</si>
  <si>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</si>
  <si>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</si>
  <si>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</si>
  <si>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</si>
  <si>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</si>
  <si>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</si>
  <si>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</si>
  <si>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</si>
  <si>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</si>
  <si>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</si>
  <si>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</si>
  <si>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</si>
  <si>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</si>
  <si>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</si>
  <si>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</si>
  <si>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</si>
  <si>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</si>
  <si>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</si>
  <si>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</si>
  <si>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</si>
  <si>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</si>
  <si>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</si>
  <si>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</si>
  <si>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</si>
  <si>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</si>
  <si>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</si>
  <si>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</si>
  <si>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</si>
  <si>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</si>
  <si>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</si>
  <si>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</si>
  <si>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</si>
  <si>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</si>
  <si>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</si>
  <si>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</si>
  <si>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</si>
  <si>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</si>
  <si>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</si>
  <si>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</si>
  <si>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</si>
  <si>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</si>
  <si>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</si>
  <si>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</si>
  <si>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</si>
  <si>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</si>
  <si>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</si>
  <si>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</si>
  <si>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</si>
  <si>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</si>
  <si>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</si>
  <si>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</si>
  <si>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</si>
  <si>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</si>
  <si>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</si>
  <si>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</si>
  <si>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</si>
  <si>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</si>
  <si>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</si>
  <si>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</si>
  <si>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</si>
  <si>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</si>
  <si>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</si>
  <si>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</si>
  <si>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</si>
  <si>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</si>
  <si>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</si>
  <si>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</si>
  <si>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</si>
  <si>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</si>
  <si>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</si>
  <si>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</si>
  <si>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</si>
  <si>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</si>
  <si>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</si>
  <si>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</si>
  <si>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</si>
  <si>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</si>
  <si>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</si>
  <si>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</si>
  <si>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</si>
  <si>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</si>
  <si>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</si>
  <si>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</si>
  <si>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</si>
  <si>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</si>
  <si>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</si>
  <si>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</si>
  <si>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</si>
  <si>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</si>
  <si>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</si>
  <si>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</si>
  <si>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</si>
  <si>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</si>
  <si>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</si>
  <si>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</si>
  <si>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</si>
  <si>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</si>
  <si>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</si>
  <si>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</si>
  <si>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</si>
  <si>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</si>
  <si>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</si>
  <si>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</si>
  <si>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</si>
  <si>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</si>
  <si>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</si>
  <si>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</si>
  <si>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</si>
  <si>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</si>
  <si>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</si>
  <si>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</si>
  <si>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</si>
  <si>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</si>
  <si>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</si>
  <si>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</si>
  <si>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</si>
  <si>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</si>
  <si>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</si>
  <si>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</si>
  <si>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</si>
  <si>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</si>
  <si>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</si>
  <si>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</si>
  <si>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</si>
  <si>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</si>
  <si>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</si>
  <si>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</si>
  <si>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</si>
  <si>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</si>
  <si>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</si>
  <si>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</si>
  <si>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</si>
  <si>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</si>
  <si>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</si>
  <si>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</si>
  <si>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</si>
  <si>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</si>
  <si>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</si>
  <si>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</si>
  <si>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</si>
  <si>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</si>
  <si>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</si>
  <si>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</si>
  <si>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</si>
  <si>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</si>
  <si>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</si>
  <si>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</si>
  <si>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</si>
  <si>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</si>
  <si>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</si>
  <si>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</si>
  <si>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</si>
  <si>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</si>
  <si>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</si>
  <si>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</si>
  <si>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</si>
  <si>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</si>
  <si>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</si>
  <si>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</si>
  <si>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</si>
  <si>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</si>
  <si>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</si>
  <si>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</si>
  <si>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</si>
  <si>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</si>
  <si>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</si>
  <si>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</si>
  <si>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</si>
  <si>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</si>
  <si>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</si>
  <si>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</si>
  <si>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</si>
  <si>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</si>
  <si>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</si>
  <si>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</si>
  <si>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</si>
  <si>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</si>
  <si>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</si>
  <si>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</si>
  <si>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</si>
  <si>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</si>
  <si>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</si>
  <si>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</si>
  <si>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</si>
  <si>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</si>
  <si>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</si>
  <si>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</si>
  <si>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</si>
  <si>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</si>
  <si>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</si>
  <si>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</si>
  <si>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</si>
  <si>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</si>
  <si>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</si>
  <si>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</si>
  <si>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</si>
  <si>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</si>
  <si>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</si>
  <si>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</si>
  <si>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</si>
  <si>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</si>
  <si>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</si>
  <si>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</si>
  <si>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</si>
  <si>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</si>
  <si>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</si>
  <si>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</si>
  <si>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</si>
  <si>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</si>
  <si>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</si>
  <si>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</si>
  <si>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</si>
  <si>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</si>
  <si>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</si>
  <si>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</si>
  <si>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</si>
  <si>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</si>
  <si>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</si>
  <si>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</si>
  <si>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</si>
  <si>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</si>
  <si>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</si>
  <si>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</si>
  <si>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</si>
  <si>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</si>
  <si>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</si>
  <si>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</si>
  <si>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</si>
  <si>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</si>
  <si>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</si>
  <si>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</si>
  <si>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</si>
  <si>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</si>
  <si>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</si>
  <si>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</si>
  <si>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</si>
  <si>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</si>
  <si>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</si>
  <si>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</si>
  <si>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</si>
  <si>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</si>
  <si>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</si>
  <si>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</si>
  <si>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</si>
  <si>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</si>
  <si>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</si>
  <si>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</si>
  <si>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</si>
  <si>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</si>
  <si>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</si>
  <si>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</si>
  <si>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</si>
  <si>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</si>
  <si>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</si>
  <si>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</si>
  <si>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</si>
  <si>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</si>
  <si>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</si>
  <si>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</si>
  <si>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</si>
  <si>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</si>
  <si>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</si>
  <si>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</si>
  <si>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</si>
  <si>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</si>
  <si>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</si>
  <si>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</si>
  <si>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</si>
  <si>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</si>
  <si>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</si>
  <si>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</si>
  <si>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</si>
  <si>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</si>
  <si>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</si>
  <si>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</si>
  <si>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</si>
  <si>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</si>
  <si>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</si>
  <si>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</si>
  <si>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</si>
  <si>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</si>
  <si>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</si>
  <si>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</si>
  <si>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</si>
  <si>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</si>
  <si>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</si>
  <si>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</si>
  <si>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</si>
  <si>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</si>
  <si>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</si>
  <si>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</si>
  <si>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</si>
  <si>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</si>
  <si>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</si>
  <si>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</si>
  <si>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</si>
  <si>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</si>
  <si>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</si>
  <si>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</si>
  <si>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</si>
  <si>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</si>
  <si>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</si>
  <si>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</si>
  <si>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</si>
  <si>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</si>
  <si>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</si>
  <si>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</si>
  <si>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</si>
  <si>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</si>
  <si>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</si>
  <si>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</si>
  <si>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</si>
  <si>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</si>
  <si>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</si>
  <si>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</si>
  <si>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</si>
  <si>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</si>
  <si>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</si>
  <si>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</si>
  <si>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</si>
  <si>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</si>
  <si>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</si>
  <si>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</si>
  <si>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</si>
  <si>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</si>
  <si>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</si>
  <si>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</si>
  <si>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</si>
  <si>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</si>
  <si>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</si>
  <si>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</si>
  <si>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</si>
  <si>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</si>
  <si>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</si>
  <si>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</si>
  <si>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</si>
  <si>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</si>
  <si>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</si>
  <si>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</si>
  <si>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</si>
  <si>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</si>
  <si>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</si>
  <si>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</si>
  <si>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</si>
  <si>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</si>
  <si>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</si>
  <si>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</si>
  <si>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</si>
  <si>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</si>
  <si>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</si>
  <si>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</si>
  <si>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</si>
  <si>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</si>
  <si>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</si>
  <si>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</si>
  <si>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</si>
  <si>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</si>
  <si>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</si>
  <si>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</si>
  <si>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</si>
  <si>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</si>
  <si>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</si>
  <si>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</si>
  <si>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</si>
  <si>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</si>
  <si>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</si>
  <si>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</si>
  <si>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</si>
  <si>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</si>
  <si>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</si>
  <si>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</si>
  <si>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</si>
  <si>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</si>
  <si>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</si>
  <si>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</si>
  <si>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</si>
  <si>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</si>
  <si>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</si>
  <si>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</si>
  <si>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</si>
  <si>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</si>
  <si>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</si>
  <si>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</si>
  <si>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</si>
  <si>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</si>
  <si>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</si>
  <si>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</si>
  <si>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</si>
  <si>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</si>
  <si>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</si>
  <si>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</si>
  <si>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</si>
  <si>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</si>
  <si>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</si>
  <si>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</si>
  <si>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</si>
  <si>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</si>
  <si>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</si>
  <si>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</si>
  <si>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</si>
  <si>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</si>
  <si>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</si>
  <si>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</si>
  <si>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</si>
  <si>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</si>
  <si>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</si>
  <si>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</si>
  <si>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</si>
  <si>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</si>
  <si>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</si>
  <si>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</si>
  <si>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</si>
  <si>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</si>
  <si>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</si>
  <si>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</si>
  <si>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</si>
  <si>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</si>
  <si>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</si>
  <si>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</si>
  <si>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</si>
  <si>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</si>
  <si>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</si>
  <si>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</si>
  <si>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</si>
  <si>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</si>
  <si>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</si>
  <si>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</si>
  <si>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</si>
  <si>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</si>
  <si>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</si>
  <si>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</si>
  <si>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</si>
  <si>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</si>
  <si>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</si>
  <si>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</si>
  <si>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</si>
  <si>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</si>
  <si>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</si>
  <si>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</si>
  <si>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</si>
  <si>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</si>
  <si>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</si>
  <si>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</si>
  <si>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</si>
  <si>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</si>
  <si>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</si>
  <si>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</si>
  <si>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</si>
  <si>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</si>
  <si>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</si>
  <si>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</si>
  <si>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</si>
  <si>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</si>
  <si>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</si>
  <si>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</si>
  <si>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</si>
  <si>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</si>
  <si>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</si>
  <si>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</si>
  <si>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</si>
  <si>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</si>
  <si>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</si>
  <si>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</si>
  <si>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</si>
  <si>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</si>
  <si>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</si>
  <si>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</si>
  <si>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</si>
  <si>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</si>
  <si>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</si>
  <si>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</si>
  <si>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</si>
  <si>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</si>
  <si>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</si>
  <si>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</si>
  <si>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</si>
  <si>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</si>
  <si>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</si>
  <si>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</si>
  <si>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</si>
  <si>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</si>
  <si>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</si>
  <si>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</si>
  <si>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</si>
  <si>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</si>
  <si>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</si>
  <si>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</si>
  <si>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</si>
  <si>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</si>
  <si>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</si>
  <si>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</si>
  <si>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</si>
  <si>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</si>
  <si>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</si>
  <si>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</si>
  <si>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</si>
  <si>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</si>
  <si>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</si>
  <si>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</si>
  <si>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</si>
  <si>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</si>
  <si>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</si>
  <si>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</si>
  <si>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</si>
  <si>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</si>
  <si>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</si>
  <si>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</si>
  <si>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</si>
  <si>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</si>
  <si>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</si>
  <si>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</si>
  <si>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</si>
  <si>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</si>
  <si>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</si>
  <si>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</si>
  <si>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</si>
  <si>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</si>
  <si>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</si>
  <si>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</si>
  <si>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</si>
  <si>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</si>
  <si>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</si>
  <si>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</si>
  <si>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</si>
  <si>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</si>
  <si>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</si>
  <si>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</si>
  <si>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</si>
  <si>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</si>
  <si>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</si>
  <si>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</si>
  <si>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</si>
  <si>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</si>
  <si>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</si>
  <si>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</si>
  <si>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</si>
  <si>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</si>
  <si>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</si>
  <si>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</si>
  <si>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</si>
  <si>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</si>
  <si>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</si>
  <si>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</si>
  <si>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</si>
  <si>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</si>
  <si>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</si>
  <si>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</si>
  <si>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</si>
  <si>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</si>
  <si>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</si>
  <si>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</si>
  <si>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</si>
  <si>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</si>
  <si>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</si>
  <si>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</si>
  <si>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</si>
  <si>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</si>
  <si>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</si>
  <si>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</si>
  <si>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</si>
  <si>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</si>
  <si>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</si>
  <si>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</si>
  <si>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</si>
  <si>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</si>
  <si>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</si>
  <si>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</si>
  <si>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</si>
  <si>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</si>
  <si>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</si>
  <si>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</si>
  <si>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</si>
  <si>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</si>
  <si>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</si>
  <si>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</si>
  <si>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</si>
  <si>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</si>
  <si>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</si>
  <si>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</si>
  <si>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</si>
  <si>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</si>
  <si>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</si>
  <si>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</si>
  <si>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</si>
  <si>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</si>
  <si>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</si>
  <si>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</si>
  <si>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</si>
  <si>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</si>
  <si>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</si>
  <si>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</si>
  <si>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</si>
  <si>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</si>
  <si>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</si>
  <si>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</si>
  <si>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</si>
  <si>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</si>
  <si>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</si>
  <si>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</si>
  <si>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</si>
  <si>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</si>
  <si>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</si>
  <si>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</si>
  <si>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</si>
  <si>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</si>
  <si>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</si>
  <si>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</si>
  <si>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</si>
  <si>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</si>
  <si>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08/15/17</t>
  </si>
  <si>
    <t>08/15/27</t>
  </si>
  <si>
    <t xml:space="preserve">Food Service Audit has not yet been done for the 2020-2021 year. It is in process. </t>
  </si>
  <si>
    <t>Nelson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</si>
</sst>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40" zoomScaleNormal="140" workbookViewId="0">
      <pane xSplit="5" ySplit="3" topLeftCell="F647" activePane="bottomRight" state="frozen"/>
      <selection pane="topRight" activeCell="F1" sqref="F1"/>
      <selection pane="bottomLeft" activeCell="A4" sqref="A4"/>
      <selection pane="bottomRight" activeCell="G670" sqref="G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1675</v>
      </c>
      <c r="B2" s="21">
        <v>375</v>
      </c>
      <c r="C2" s="21">
        <v>375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66244.19</v>
      </c>
      <c r="G9" s="18">
        <v>0</v>
      </c>
      <c r="H9" s="18">
        <v>17150.810000000001</v>
      </c>
      <c r="I9" s="18">
        <v>0</v>
      </c>
      <c r="J9" s="67">
        <f>SUM(I440)</f>
        <v>0</v>
      </c>
      <c r="K9" s="24" t="s">
        <v>288</v>
      </c>
      <c r="L9" s="24" t="s">
        <v>288</v>
      </c>
      <c r="M9" s="8"/>
      <c r="N9" s="266"/>
    </row>
    <row r="10" spans="1:14" s="3" customFormat="1" ht="12.2" customHeight="1" x14ac:dyDescent="0.15">
      <c r="A10" s="1" t="s">
        <v>562</v>
      </c>
      <c r="B10" s="2" t="s">
        <v>289</v>
      </c>
      <c r="C10" s="6">
        <v>2</v>
      </c>
      <c r="D10" s="2" t="s">
        <v>428</v>
      </c>
      <c r="E10" s="6">
        <v>110</v>
      </c>
      <c r="F10" s="18">
        <v>129995.64</v>
      </c>
      <c r="G10" s="18">
        <v>0</v>
      </c>
      <c r="H10" s="18">
        <v>0</v>
      </c>
      <c r="I10" s="18">
        <v>0</v>
      </c>
      <c r="J10" s="67">
        <f>SUM(I441)</f>
        <v>315572.3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13667.16</v>
      </c>
      <c r="G12" s="18">
        <v>200.6</v>
      </c>
      <c r="H12" s="18">
        <v>0</v>
      </c>
      <c r="I12" s="18">
        <v>0</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55.6</v>
      </c>
      <c r="G13" s="18">
        <v>0</v>
      </c>
      <c r="H13" s="18">
        <v>38845.040000000001</v>
      </c>
      <c r="I13" s="18">
        <v>0</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35.76</v>
      </c>
      <c r="G14" s="18">
        <v>0</v>
      </c>
      <c r="H14" s="18">
        <v>0</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500</v>
      </c>
      <c r="G17" s="18">
        <v>0</v>
      </c>
      <c r="H17" s="18">
        <v>1918.12</v>
      </c>
      <c r="I17" s="18">
        <v>0</v>
      </c>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210498.35000000003</v>
      </c>
      <c r="G19" s="41">
        <f>SUM(G9:G18)</f>
        <v>200.6</v>
      </c>
      <c r="H19" s="41">
        <f>SUM(H9:H18)</f>
        <v>57913.970000000008</v>
      </c>
      <c r="I19" s="41">
        <f>SUM(I9:I18)</f>
        <v>0</v>
      </c>
      <c r="J19" s="41">
        <f>SUM(J9:J18)</f>
        <v>315572.3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200.6</v>
      </c>
      <c r="G22" s="18">
        <v>0</v>
      </c>
      <c r="H22" s="18">
        <v>13667.16</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49.4</v>
      </c>
      <c r="G23" s="18">
        <v>0</v>
      </c>
      <c r="H23" s="18">
        <v>745.36</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10718.63</v>
      </c>
      <c r="G24" s="18">
        <v>0</v>
      </c>
      <c r="H24" s="18">
        <v>26893.600000000002</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6123.74</v>
      </c>
      <c r="G28" s="18">
        <v>200.6</v>
      </c>
      <c r="H28" s="18">
        <v>208.03</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16473.46</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0</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33565.83</v>
      </c>
      <c r="G32" s="41">
        <f>SUM(G22:G31)</f>
        <v>200.6</v>
      </c>
      <c r="H32" s="41">
        <f>SUM(H22:H31)</f>
        <v>41514.15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500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662.21</v>
      </c>
      <c r="I37" s="18">
        <v>0</v>
      </c>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6"/>
    </row>
    <row r="44" spans="1:14" s="3" customFormat="1" ht="12.2" customHeight="1" x14ac:dyDescent="0.15">
      <c r="A44" s="1" t="s">
        <v>837</v>
      </c>
      <c r="B44" s="6">
        <v>1</v>
      </c>
      <c r="C44" s="6">
        <v>30</v>
      </c>
      <c r="D44" s="2" t="s">
        <v>653</v>
      </c>
      <c r="E44" s="6">
        <v>755</v>
      </c>
      <c r="F44" s="18">
        <v>30000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11709.060000000001</v>
      </c>
      <c r="I48" s="18">
        <v>0</v>
      </c>
      <c r="J48" s="13">
        <f>SUM(I460)</f>
        <v>315572.3</v>
      </c>
      <c r="K48" s="24" t="s">
        <v>288</v>
      </c>
      <c r="L48" s="24" t="s">
        <v>288</v>
      </c>
      <c r="M48" s="8"/>
      <c r="N48" s="266"/>
    </row>
    <row r="49" spans="1:14" s="3" customFormat="1" ht="12.2" customHeight="1" x14ac:dyDescent="0.15">
      <c r="A49" s="1" t="s">
        <v>859</v>
      </c>
      <c r="B49" s="2" t="s">
        <v>289</v>
      </c>
      <c r="C49" s="6">
        <v>34</v>
      </c>
      <c r="D49" s="2"/>
      <c r="E49" s="6">
        <v>753</v>
      </c>
      <c r="F49" s="18">
        <v>3001.76</v>
      </c>
      <c r="G49" s="18">
        <v>0</v>
      </c>
      <c r="H49" s="18">
        <v>4028.55</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v>143430.76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176932.52000000002</v>
      </c>
      <c r="G51" s="41">
        <f>SUM(G35:G50)</f>
        <v>0</v>
      </c>
      <c r="H51" s="41">
        <f>SUM(H35:H50)</f>
        <v>16399.82</v>
      </c>
      <c r="I51" s="41">
        <f>SUM(I35:I50)</f>
        <v>0</v>
      </c>
      <c r="J51" s="41">
        <f>SUM(J35:J50)</f>
        <v>315572.3</v>
      </c>
      <c r="K51" s="45" t="s">
        <v>288</v>
      </c>
      <c r="L51" s="45" t="s">
        <v>288</v>
      </c>
      <c r="N51" s="264"/>
    </row>
    <row r="52" spans="1:14" s="3" customFormat="1" ht="12.2" customHeight="1" thickTop="1" x14ac:dyDescent="0.15">
      <c r="A52" s="38" t="s">
        <v>455</v>
      </c>
      <c r="B52" s="39" t="s">
        <v>289</v>
      </c>
      <c r="C52" s="6">
        <v>37</v>
      </c>
      <c r="D52" s="39" t="s">
        <v>653</v>
      </c>
      <c r="E52" s="39"/>
      <c r="F52" s="41">
        <f>F51+F32</f>
        <v>210498.35000000003</v>
      </c>
      <c r="G52" s="41">
        <f>G51+G32</f>
        <v>200.6</v>
      </c>
      <c r="H52" s="41">
        <f>H51+H32</f>
        <v>57913.97</v>
      </c>
      <c r="I52" s="41">
        <f>I51+I32</f>
        <v>0</v>
      </c>
      <c r="J52" s="41">
        <f>J51+J32</f>
        <v>315572.3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856216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856216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533684.02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68848.800000000003</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602732.82000000007</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652.35</v>
      </c>
      <c r="G96" s="18">
        <v>0</v>
      </c>
      <c r="H96" s="18">
        <v>0</v>
      </c>
      <c r="I96" s="18">
        <v>0</v>
      </c>
      <c r="J96" s="18">
        <v>188.39</v>
      </c>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379.9</v>
      </c>
      <c r="G102" s="18">
        <v>0</v>
      </c>
      <c r="H102" s="18">
        <v>1297</v>
      </c>
      <c r="I102" s="18">
        <v>0</v>
      </c>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7815.16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704.69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9552.1</v>
      </c>
      <c r="G111" s="41">
        <f>SUM(G96:G110)</f>
        <v>0</v>
      </c>
      <c r="H111" s="41">
        <f>SUM(H96:H110)</f>
        <v>1297</v>
      </c>
      <c r="I111" s="41">
        <f>SUM(I96:I110)</f>
        <v>0</v>
      </c>
      <c r="J111" s="41">
        <f>SUM(J96:J110)</f>
        <v>188.39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1468500.9200000002</v>
      </c>
      <c r="G112" s="41">
        <f>G60+G111</f>
        <v>0</v>
      </c>
      <c r="H112" s="41">
        <f>H60+H79+H94+H111</f>
        <v>1297</v>
      </c>
      <c r="I112" s="41">
        <f>I60+I111</f>
        <v>0</v>
      </c>
      <c r="J112" s="41">
        <f>J60+J111</f>
        <v>188.39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160937.26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241832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402769.26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402769.26</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22613.4</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v>0</v>
      </c>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v>0</v>
      </c>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7305.8899999999994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12519.59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16122.37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349.36</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v>0</v>
      </c>
      <c r="G161" s="18"/>
      <c r="H161" s="18">
        <v>13200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v>0</v>
      </c>
      <c r="G162" s="24" t="s">
        <v>288</v>
      </c>
      <c r="H162" s="18">
        <v>16383.64</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349.36</v>
      </c>
      <c r="G163" s="41">
        <f>SUM(G150:G162)</f>
        <v>0</v>
      </c>
      <c r="H163" s="41">
        <f>SUM(H150:H162)</f>
        <v>88144.89</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349.36</v>
      </c>
      <c r="G170" s="41">
        <f>G147+G163+SUM(G164:G169)</f>
        <v>0</v>
      </c>
      <c r="H170" s="41">
        <f>H147+H163+SUM(H164:H169)</f>
        <v>88144.89</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7861.39</v>
      </c>
      <c r="H180" s="18">
        <v>0</v>
      </c>
      <c r="I180" s="18">
        <v>0</v>
      </c>
      <c r="J180" s="18">
        <v>30000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7861.39</v>
      </c>
      <c r="H184" s="41">
        <f>SUM(H180:H183)</f>
        <v>0</v>
      </c>
      <c r="I184" s="41">
        <f>SUM(I180:I183)</f>
        <v>0</v>
      </c>
      <c r="J184" s="41">
        <f>SUM(J180:J183)</f>
        <v>30000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7861.39</v>
      </c>
      <c r="H193" s="41">
        <f>+H184+SUM(H189:H192)</f>
        <v>0</v>
      </c>
      <c r="I193" s="41">
        <f>I178+I184+SUM(I189:I192)</f>
        <v>0</v>
      </c>
      <c r="J193" s="41">
        <f>J184</f>
        <v>30000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1871619.5400000003</v>
      </c>
      <c r="G194" s="47">
        <f>G112+G140+G170+G193</f>
        <v>7861.39</v>
      </c>
      <c r="H194" s="47">
        <f>H112+H140+H170+H193</f>
        <v>89441.89</v>
      </c>
      <c r="I194" s="47">
        <f>I112+I140+I170+I193</f>
        <v>0</v>
      </c>
      <c r="J194" s="47">
        <f>J112+J140+J193</f>
        <v>30188.39</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409586.51</v>
      </c>
      <c r="G198" s="18">
        <v>136291.62</v>
      </c>
      <c r="H198" s="18">
        <v>4204</v>
      </c>
      <c r="I198" s="18">
        <v>12344.09</v>
      </c>
      <c r="J198" s="18">
        <v>2337.2600000000002</v>
      </c>
      <c r="K198" s="18">
        <v>223.84</v>
      </c>
      <c r="L198" s="19">
        <f>SUM(F198:K198)</f>
        <v>564987.31999999995</v>
      </c>
      <c r="M198" s="8"/>
      <c r="N198" s="266"/>
    </row>
    <row r="199" spans="1:14" s="3" customFormat="1" ht="12.2" customHeight="1" x14ac:dyDescent="0.15">
      <c r="A199" s="1" t="s">
        <v>439</v>
      </c>
      <c r="B199" s="2" t="s">
        <v>341</v>
      </c>
      <c r="C199" s="2" t="s">
        <v>291</v>
      </c>
      <c r="D199" s="2" t="s">
        <v>431</v>
      </c>
      <c r="E199" s="6">
        <v>1200</v>
      </c>
      <c r="F199" s="18">
        <v>137394.95000000001</v>
      </c>
      <c r="G199" s="18">
        <v>76283.590000000011</v>
      </c>
      <c r="H199" s="18">
        <v>0</v>
      </c>
      <c r="I199" s="18">
        <v>0</v>
      </c>
      <c r="J199" s="18">
        <v>0</v>
      </c>
      <c r="K199" s="18">
        <v>0</v>
      </c>
      <c r="L199" s="19">
        <f>SUM(F199:K199)</f>
        <v>213678.54000000004</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1800</v>
      </c>
      <c r="G201" s="18">
        <v>465.46999999999997</v>
      </c>
      <c r="H201" s="18">
        <v>0</v>
      </c>
      <c r="I201" s="18">
        <v>0</v>
      </c>
      <c r="J201" s="18">
        <v>0</v>
      </c>
      <c r="K201" s="18">
        <v>0</v>
      </c>
      <c r="L201" s="19">
        <f>SUM(F201:K201)</f>
        <v>2265.4699999999998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31639.54</v>
      </c>
      <c r="G203" s="18">
        <v>2553.0999999999995</v>
      </c>
      <c r="H203" s="18">
        <v>19066.28</v>
      </c>
      <c r="I203" s="18">
        <v>148.29000000000002</v>
      </c>
      <c r="J203" s="18">
        <v>0</v>
      </c>
      <c r="K203" s="18">
        <v>0</v>
      </c>
      <c r="L203" s="19">
        <f t="shared" ref="L203:L209" si="0">SUM(F203:K203)</f>
        <v>53407.21</v>
      </c>
      <c r="M203" s="8"/>
      <c r="N203" s="266"/>
    </row>
    <row r="204" spans="1:14" s="3" customFormat="1" ht="12.2" customHeight="1" x14ac:dyDescent="0.15">
      <c r="A204" s="1" t="s">
        <v>443</v>
      </c>
      <c r="B204" s="2" t="s">
        <v>341</v>
      </c>
      <c r="C204" s="2" t="s">
        <v>295</v>
      </c>
      <c r="D204" s="2" t="s">
        <v>431</v>
      </c>
      <c r="E204" s="6">
        <v>2200</v>
      </c>
      <c r="F204" s="18">
        <v>6062.5</v>
      </c>
      <c r="G204" s="18">
        <v>1034.0800000000002</v>
      </c>
      <c r="H204" s="18">
        <v>1975.39</v>
      </c>
      <c r="I204" s="18">
        <v>0</v>
      </c>
      <c r="J204" s="18">
        <v>0</v>
      </c>
      <c r="K204" s="18">
        <v>0</v>
      </c>
      <c r="L204" s="19">
        <f t="shared" si="0"/>
        <v>9071.9699999999993</v>
      </c>
      <c r="M204" s="8"/>
      <c r="N204" s="266"/>
    </row>
    <row r="205" spans="1:14" s="3" customFormat="1" ht="12.2" customHeight="1" x14ac:dyDescent="0.15">
      <c r="A205" s="1" t="s">
        <v>444</v>
      </c>
      <c r="B205" s="2" t="s">
        <v>341</v>
      </c>
      <c r="C205" s="2" t="s">
        <v>296</v>
      </c>
      <c r="D205" s="2" t="s">
        <v>431</v>
      </c>
      <c r="E205" s="6">
        <v>2300</v>
      </c>
      <c r="F205" s="18">
        <v>2753.75</v>
      </c>
      <c r="G205" s="18">
        <v>222.13000000000002</v>
      </c>
      <c r="H205" s="18">
        <v>120966.68</v>
      </c>
      <c r="I205" s="18">
        <v>471.49</v>
      </c>
      <c r="J205" s="18">
        <v>0</v>
      </c>
      <c r="K205" s="18">
        <v>24</v>
      </c>
      <c r="L205" s="19">
        <f t="shared" si="0"/>
        <v>124438.05</v>
      </c>
      <c r="M205" s="8"/>
      <c r="N205" s="266"/>
    </row>
    <row r="206" spans="1:14" s="3" customFormat="1" ht="12.2" customHeight="1" x14ac:dyDescent="0.15">
      <c r="A206" s="1" t="s">
        <v>445</v>
      </c>
      <c r="B206" s="2" t="s">
        <v>341</v>
      </c>
      <c r="C206" s="2" t="s">
        <v>297</v>
      </c>
      <c r="D206" s="2" t="s">
        <v>431</v>
      </c>
      <c r="E206" s="6">
        <v>2400</v>
      </c>
      <c r="F206" s="18">
        <v>109940.45</v>
      </c>
      <c r="G206" s="18">
        <v>62919.560000000005</v>
      </c>
      <c r="H206" s="18">
        <v>13455.54</v>
      </c>
      <c r="I206" s="18">
        <v>5907.16</v>
      </c>
      <c r="J206" s="18">
        <v>248.81</v>
      </c>
      <c r="K206" s="18">
        <v>560</v>
      </c>
      <c r="L206" s="19">
        <f t="shared" si="0"/>
        <v>193031.52000000002</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15865.11</v>
      </c>
      <c r="G208" s="18">
        <v>1823.88</v>
      </c>
      <c r="H208" s="18">
        <v>52560.89</v>
      </c>
      <c r="I208" s="18">
        <v>18137.53</v>
      </c>
      <c r="J208" s="18">
        <v>0</v>
      </c>
      <c r="K208" s="18">
        <v>0</v>
      </c>
      <c r="L208" s="19">
        <f t="shared" si="0"/>
        <v>88387.41</v>
      </c>
      <c r="M208" s="8"/>
      <c r="N208" s="266"/>
    </row>
    <row r="209" spans="1:14" s="3" customFormat="1" ht="12.2" customHeight="1" x14ac:dyDescent="0.15">
      <c r="A209" s="1" t="s">
        <v>448</v>
      </c>
      <c r="B209" s="2" t="s">
        <v>341</v>
      </c>
      <c r="C209" s="2" t="s">
        <v>300</v>
      </c>
      <c r="D209" s="2" t="s">
        <v>431</v>
      </c>
      <c r="E209" s="6">
        <v>2700</v>
      </c>
      <c r="F209" s="18">
        <v>0</v>
      </c>
      <c r="G209" s="18">
        <v>0</v>
      </c>
      <c r="H209" s="18">
        <v>55543.6</v>
      </c>
      <c r="I209" s="18">
        <v>0</v>
      </c>
      <c r="J209" s="18">
        <v>0</v>
      </c>
      <c r="K209" s="18">
        <v>0</v>
      </c>
      <c r="L209" s="19">
        <f t="shared" si="0"/>
        <v>55543.6</v>
      </c>
      <c r="M209" s="8"/>
      <c r="N209" s="266"/>
    </row>
    <row r="210" spans="1:14" s="3" customFormat="1" ht="12.2" customHeight="1" x14ac:dyDescent="0.15">
      <c r="A210" s="1" t="s">
        <v>449</v>
      </c>
      <c r="B210" s="2" t="s">
        <v>341</v>
      </c>
      <c r="C210" s="2" t="s">
        <v>343</v>
      </c>
      <c r="D210" s="2" t="s">
        <v>431</v>
      </c>
      <c r="E210" s="6">
        <v>2800</v>
      </c>
      <c r="F210" s="18">
        <v>0</v>
      </c>
      <c r="G210" s="18">
        <v>0</v>
      </c>
      <c r="H210" s="18">
        <v>449.25</v>
      </c>
      <c r="I210" s="18">
        <v>0</v>
      </c>
      <c r="J210" s="18">
        <v>0</v>
      </c>
      <c r="K210" s="18">
        <v>0</v>
      </c>
      <c r="L210" s="19">
        <f>SUM(F210:K210)</f>
        <v>449.25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715042.80999999994</v>
      </c>
      <c r="G212" s="41">
        <f t="shared" si="1"/>
        <v>281593.43000000005</v>
      </c>
      <c r="H212" s="41">
        <f t="shared" si="1"/>
        <v>268221.62999999995</v>
      </c>
      <c r="I212" s="41">
        <f t="shared" si="1"/>
        <v>37008.559999999998</v>
      </c>
      <c r="J212" s="41">
        <f t="shared" si="1"/>
        <v>2586.0700000000002</v>
      </c>
      <c r="K212" s="41">
        <f t="shared" si="1"/>
        <v>807.84</v>
      </c>
      <c r="L212" s="41">
        <f t="shared" si="1"/>
        <v>1305260.3400000001</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0</v>
      </c>
      <c r="G216" s="18">
        <v>0</v>
      </c>
      <c r="H216" s="18">
        <v>163307.4</v>
      </c>
      <c r="I216" s="18">
        <v>0</v>
      </c>
      <c r="J216" s="18">
        <v>0</v>
      </c>
      <c r="K216" s="18">
        <v>0</v>
      </c>
      <c r="L216" s="19">
        <f>SUM(F216:K216)</f>
        <v>163307.4</v>
      </c>
      <c r="M216" s="8"/>
      <c r="N216" s="266"/>
    </row>
    <row r="217" spans="1:14" s="3" customFormat="1" ht="12.2" customHeight="1" x14ac:dyDescent="0.15">
      <c r="A217" s="1" t="s">
        <v>439</v>
      </c>
      <c r="B217" s="2" t="s">
        <v>346</v>
      </c>
      <c r="C217" s="2" t="s">
        <v>291</v>
      </c>
      <c r="D217" s="2" t="s">
        <v>431</v>
      </c>
      <c r="E217" s="6">
        <v>1200</v>
      </c>
      <c r="F217" s="18">
        <v>0</v>
      </c>
      <c r="G217" s="18">
        <v>0</v>
      </c>
      <c r="H217" s="18">
        <v>57928</v>
      </c>
      <c r="I217" s="18">
        <v>0</v>
      </c>
      <c r="J217" s="18">
        <v>0</v>
      </c>
      <c r="K217" s="18">
        <v>0</v>
      </c>
      <c r="L217" s="19">
        <f>SUM(F217:K217)</f>
        <v>57928</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9">
        <f t="shared" ref="L221:L227" si="2">SUM(F221:K221)</f>
        <v>0</v>
      </c>
      <c r="M221" s="8"/>
      <c r="N221" s="266"/>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9">
        <f t="shared" si="2"/>
        <v>0</v>
      </c>
      <c r="M222" s="8"/>
      <c r="N222" s="266"/>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9">
        <f t="shared" si="2"/>
        <v>0</v>
      </c>
      <c r="M223" s="8"/>
      <c r="N223" s="266"/>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9">
        <f t="shared" si="2"/>
        <v>0</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9">
        <f t="shared" si="2"/>
        <v>0</v>
      </c>
      <c r="M226" s="8"/>
      <c r="N226" s="266"/>
    </row>
    <row r="227" spans="1:14" s="3" customFormat="1" ht="12.2" customHeight="1" x14ac:dyDescent="0.15">
      <c r="A227" s="1" t="s">
        <v>448</v>
      </c>
      <c r="B227" s="2" t="s">
        <v>346</v>
      </c>
      <c r="C227" s="2" t="s">
        <v>300</v>
      </c>
      <c r="D227" s="2" t="s">
        <v>431</v>
      </c>
      <c r="E227" s="6">
        <v>2700</v>
      </c>
      <c r="F227" s="18">
        <v>0</v>
      </c>
      <c r="G227" s="18">
        <v>0</v>
      </c>
      <c r="H227" s="18">
        <v>27771.8</v>
      </c>
      <c r="I227" s="18">
        <v>0</v>
      </c>
      <c r="J227" s="18">
        <v>0</v>
      </c>
      <c r="K227" s="18">
        <v>0</v>
      </c>
      <c r="L227" s="19">
        <f t="shared" si="2"/>
        <v>27771.8</v>
      </c>
      <c r="M227" s="8"/>
      <c r="N227" s="266"/>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249007.19999999998</v>
      </c>
      <c r="I230" s="41">
        <f>SUM(I216:I229)</f>
        <v>0</v>
      </c>
      <c r="J230" s="41">
        <f>SUM(J216:J229)</f>
        <v>0</v>
      </c>
      <c r="K230" s="41">
        <f t="shared" si="3"/>
        <v>0</v>
      </c>
      <c r="L230" s="41">
        <f t="shared" si="3"/>
        <v>249007.19999999998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0</v>
      </c>
      <c r="G234" s="18">
        <v>0</v>
      </c>
      <c r="H234" s="18">
        <v>205227</v>
      </c>
      <c r="I234" s="18">
        <v>0</v>
      </c>
      <c r="J234" s="18">
        <v>0</v>
      </c>
      <c r="K234" s="18">
        <v>0</v>
      </c>
      <c r="L234" s="19">
        <f>SUM(F234:K234)</f>
        <v>205227</v>
      </c>
      <c r="M234" s="8"/>
      <c r="N234" s="266"/>
    </row>
    <row r="235" spans="1:14" s="3" customFormat="1" ht="12.2" customHeight="1" x14ac:dyDescent="0.15">
      <c r="A235" s="1" t="s">
        <v>439</v>
      </c>
      <c r="B235" s="2" t="s">
        <v>350</v>
      </c>
      <c r="C235" s="2" t="s">
        <v>291</v>
      </c>
      <c r="D235" s="2" t="s">
        <v>431</v>
      </c>
      <c r="E235" s="6">
        <v>1200</v>
      </c>
      <c r="F235" s="18">
        <v>0</v>
      </c>
      <c r="G235" s="18">
        <v>0</v>
      </c>
      <c r="H235" s="18">
        <v>0</v>
      </c>
      <c r="I235" s="18">
        <v>0</v>
      </c>
      <c r="J235" s="18">
        <v>0</v>
      </c>
      <c r="K235" s="18">
        <v>0</v>
      </c>
      <c r="L235" s="19">
        <f>SUM(F235:K235)</f>
        <v>0</v>
      </c>
      <c r="M235" s="8"/>
      <c r="N235" s="266"/>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6"/>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6"/>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6"/>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9">
        <f t="shared" si="4"/>
        <v>0</v>
      </c>
      <c r="M241" s="8"/>
      <c r="N241" s="266"/>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6"/>
    </row>
    <row r="245" spans="1:14" s="3" customFormat="1" ht="12.2" customHeight="1" x14ac:dyDescent="0.15">
      <c r="A245" s="1" t="s">
        <v>448</v>
      </c>
      <c r="B245" s="2" t="s">
        <v>350</v>
      </c>
      <c r="C245" s="2" t="s">
        <v>300</v>
      </c>
      <c r="D245" s="2" t="s">
        <v>431</v>
      </c>
      <c r="E245" s="6">
        <v>2700</v>
      </c>
      <c r="F245" s="18">
        <v>0</v>
      </c>
      <c r="G245" s="18">
        <v>0</v>
      </c>
      <c r="H245" s="18">
        <v>27771.8</v>
      </c>
      <c r="I245" s="18">
        <v>0</v>
      </c>
      <c r="J245" s="18">
        <v>0</v>
      </c>
      <c r="K245" s="18">
        <v>0</v>
      </c>
      <c r="L245" s="19">
        <f t="shared" si="4"/>
        <v>27771.8</v>
      </c>
      <c r="M245" s="8"/>
      <c r="N245" s="266"/>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232998.8</v>
      </c>
      <c r="I248" s="41">
        <f t="shared" si="5"/>
        <v>0</v>
      </c>
      <c r="J248" s="41">
        <f t="shared" si="5"/>
        <v>0</v>
      </c>
      <c r="K248" s="41">
        <f t="shared" si="5"/>
        <v>0</v>
      </c>
      <c r="L248" s="41">
        <f t="shared" si="5"/>
        <v>232998.8</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715042.80999999994</v>
      </c>
      <c r="G258" s="41">
        <f t="shared" si="8"/>
        <v>281593.43000000005</v>
      </c>
      <c r="H258" s="41">
        <f t="shared" si="8"/>
        <v>750227.62999999989</v>
      </c>
      <c r="I258" s="41">
        <f t="shared" si="8"/>
        <v>37008.559999999998</v>
      </c>
      <c r="J258" s="41">
        <f t="shared" si="8"/>
        <v>2586.0700000000002</v>
      </c>
      <c r="K258" s="41">
        <f t="shared" si="8"/>
        <v>807.84</v>
      </c>
      <c r="L258" s="41">
        <f t="shared" si="8"/>
        <v>1787266.34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85000</v>
      </c>
      <c r="L261" s="19">
        <f>SUM(F261:K261)</f>
        <v>85000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32512.5</v>
      </c>
      <c r="L262" s="19">
        <f>SUM(F262:K262)</f>
        <v>32512.5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7861.39</v>
      </c>
      <c r="L264" s="19">
        <f>SUM(F264:K264)</f>
        <v>7861.39</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v>
      </c>
      <c r="L267" s="19">
        <f t="shared" si="9"/>
        <v>30000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155373.89000000001</v>
      </c>
      <c r="L271" s="41">
        <f t="shared" si="9"/>
        <v>155373.89000000001</v>
      </c>
      <c r="M271" s="8"/>
      <c r="N271" s="266"/>
    </row>
    <row r="272" spans="1:14" s="34" customFormat="1" ht="12.2" customHeight="1" thickTop="1" x14ac:dyDescent="0.2">
      <c r="A272" s="43" t="s">
        <v>464</v>
      </c>
      <c r="B272" s="40">
        <v>10</v>
      </c>
      <c r="C272" s="40">
        <v>18</v>
      </c>
      <c r="D272" s="39" t="s">
        <v>431</v>
      </c>
      <c r="E272" s="40"/>
      <c r="F272" s="42">
        <f t="shared" ref="F272:L272" si="11">F258+F271</f>
        <v>715042.80999999994</v>
      </c>
      <c r="G272" s="42">
        <f t="shared" si="11"/>
        <v>281593.43000000005</v>
      </c>
      <c r="H272" s="42">
        <f t="shared" si="11"/>
        <v>750227.62999999989</v>
      </c>
      <c r="I272" s="42">
        <f t="shared" si="11"/>
        <v>37008.559999999998</v>
      </c>
      <c r="J272" s="42">
        <f t="shared" si="11"/>
        <v>2586.0700000000002</v>
      </c>
      <c r="K272" s="42">
        <f t="shared" si="11"/>
        <v>156181.73000000001</v>
      </c>
      <c r="L272" s="42">
        <f t="shared" si="11"/>
        <v>1942640.23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3887.1</v>
      </c>
      <c r="G277" s="18">
        <v>313.68</v>
      </c>
      <c r="H277" s="18">
        <v>0</v>
      </c>
      <c r="I277" s="18">
        <v>29884.16</v>
      </c>
      <c r="J277" s="18">
        <v>11075.67</v>
      </c>
      <c r="K277" s="18">
        <v>0</v>
      </c>
      <c r="L277" s="19">
        <f>SUM(F277:K277)</f>
        <v>45160.61</v>
      </c>
      <c r="M277" s="8"/>
      <c r="N277" s="266"/>
    </row>
    <row r="278" spans="1:14" s="3" customFormat="1" ht="12.2" customHeight="1" x14ac:dyDescent="0.15">
      <c r="A278" s="1" t="s">
        <v>439</v>
      </c>
      <c r="B278" s="2" t="s">
        <v>357</v>
      </c>
      <c r="C278" s="2" t="s">
        <v>291</v>
      </c>
      <c r="D278" s="2" t="s">
        <v>431</v>
      </c>
      <c r="E278" s="6">
        <v>1200</v>
      </c>
      <c r="F278" s="18">
        <v>0</v>
      </c>
      <c r="G278" s="18">
        <v>0</v>
      </c>
      <c r="H278" s="18">
        <v>1050</v>
      </c>
      <c r="I278" s="18">
        <v>3912.1100000000006</v>
      </c>
      <c r="J278" s="18">
        <v>10186.39</v>
      </c>
      <c r="K278" s="18">
        <v>0</v>
      </c>
      <c r="L278" s="19">
        <f>SUM(F278:K278)</f>
        <v>15148.5</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6"/>
    </row>
    <row r="283" spans="1:14" s="3" customFormat="1" ht="12.2" customHeight="1" x14ac:dyDescent="0.15">
      <c r="A283" s="1" t="s">
        <v>443</v>
      </c>
      <c r="B283" s="2" t="s">
        <v>357</v>
      </c>
      <c r="C283" s="2" t="s">
        <v>295</v>
      </c>
      <c r="D283" s="2" t="s">
        <v>431</v>
      </c>
      <c r="E283" s="6">
        <v>2200</v>
      </c>
      <c r="F283" s="18">
        <v>0</v>
      </c>
      <c r="G283" s="18">
        <v>0</v>
      </c>
      <c r="H283" s="18">
        <v>4984.8999999999996</v>
      </c>
      <c r="I283" s="18">
        <v>0</v>
      </c>
      <c r="J283" s="18">
        <v>0</v>
      </c>
      <c r="K283" s="18">
        <v>0</v>
      </c>
      <c r="L283" s="19">
        <f t="shared" si="12"/>
        <v>4984.8999999999996</v>
      </c>
      <c r="M283" s="8"/>
      <c r="N283" s="266"/>
    </row>
    <row r="284" spans="1:14" s="3" customFormat="1" ht="12.2" customHeight="1" x14ac:dyDescent="0.15">
      <c r="A284" s="1" t="s">
        <v>444</v>
      </c>
      <c r="B284" s="2" t="s">
        <v>357</v>
      </c>
      <c r="C284" s="2" t="s">
        <v>296</v>
      </c>
      <c r="D284" s="2" t="s">
        <v>431</v>
      </c>
      <c r="E284" s="6">
        <v>2300</v>
      </c>
      <c r="F284" s="18">
        <v>0</v>
      </c>
      <c r="G284" s="18">
        <v>0</v>
      </c>
      <c r="H284" s="18">
        <v>2702.3199999999997</v>
      </c>
      <c r="I284" s="18">
        <v>0</v>
      </c>
      <c r="J284" s="18">
        <v>0</v>
      </c>
      <c r="K284" s="18">
        <v>0</v>
      </c>
      <c r="L284" s="19">
        <f t="shared" si="12"/>
        <v>2702.3199999999997</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2939.5699999999997</v>
      </c>
      <c r="L286" s="19">
        <f t="shared" si="12"/>
        <v>2939.5699999999997</v>
      </c>
      <c r="M286" s="8"/>
      <c r="N286" s="266"/>
    </row>
    <row r="287" spans="1:14" s="3" customFormat="1" ht="12.2" customHeight="1" x14ac:dyDescent="0.15">
      <c r="A287" s="1" t="s">
        <v>447</v>
      </c>
      <c r="B287" s="2" t="s">
        <v>357</v>
      </c>
      <c r="C287" s="2" t="s">
        <v>299</v>
      </c>
      <c r="D287" s="2" t="s">
        <v>431</v>
      </c>
      <c r="E287" s="6">
        <v>2600</v>
      </c>
      <c r="F287" s="18">
        <v>4502.2299999999996</v>
      </c>
      <c r="G287" s="18">
        <v>0</v>
      </c>
      <c r="H287" s="18">
        <v>371.45</v>
      </c>
      <c r="I287" s="18">
        <v>2251.09</v>
      </c>
      <c r="J287" s="18">
        <v>11314.21</v>
      </c>
      <c r="K287" s="18">
        <v>0</v>
      </c>
      <c r="L287" s="19">
        <f t="shared" si="12"/>
        <v>18438.98</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8389.33</v>
      </c>
      <c r="G291" s="42">
        <f t="shared" si="13"/>
        <v>313.68</v>
      </c>
      <c r="H291" s="42">
        <f t="shared" si="13"/>
        <v>9108.67</v>
      </c>
      <c r="I291" s="42">
        <f t="shared" si="13"/>
        <v>36047.360000000001</v>
      </c>
      <c r="J291" s="42">
        <f t="shared" si="13"/>
        <v>32576.269999999997</v>
      </c>
      <c r="K291" s="42">
        <f t="shared" si="13"/>
        <v>2939.5699999999997</v>
      </c>
      <c r="L291" s="41">
        <f t="shared" si="13"/>
        <v>89374.87999999999</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8389.33</v>
      </c>
      <c r="G339" s="41">
        <f t="shared" si="20"/>
        <v>313.68</v>
      </c>
      <c r="H339" s="41">
        <f t="shared" si="20"/>
        <v>9108.67</v>
      </c>
      <c r="I339" s="41">
        <f t="shared" si="20"/>
        <v>36047.360000000001</v>
      </c>
      <c r="J339" s="41">
        <f t="shared" si="20"/>
        <v>32576.269999999997</v>
      </c>
      <c r="K339" s="41">
        <f t="shared" si="20"/>
        <v>2939.5699999999997</v>
      </c>
      <c r="L339" s="41">
        <f t="shared" si="20"/>
        <v>89374.87999999999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8389.33</v>
      </c>
      <c r="G353" s="41">
        <f>G339</f>
        <v>313.68</v>
      </c>
      <c r="H353" s="41">
        <f>H339</f>
        <v>9108.67</v>
      </c>
      <c r="I353" s="41">
        <f>I339</f>
        <v>36047.360000000001</v>
      </c>
      <c r="J353" s="41">
        <f>J339</f>
        <v>32576.269999999997</v>
      </c>
      <c r="K353" s="47">
        <f>K339+K352</f>
        <v>2939.5699999999997</v>
      </c>
      <c r="L353" s="41">
        <f>L339+L352</f>
        <v>89374.87999999999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4209.01</v>
      </c>
      <c r="G359" s="18">
        <v>483.01</v>
      </c>
      <c r="H359" s="18">
        <v>2750</v>
      </c>
      <c r="I359" s="18">
        <v>419.37</v>
      </c>
      <c r="J359" s="18">
        <v>0</v>
      </c>
      <c r="K359" s="18">
        <v>0</v>
      </c>
      <c r="L359" s="13">
        <f>SUM(F359:K359)</f>
        <v>7861.39</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4209.01</v>
      </c>
      <c r="G363" s="47">
        <f t="shared" si="22"/>
        <v>483.01</v>
      </c>
      <c r="H363" s="47">
        <f t="shared" si="22"/>
        <v>2750</v>
      </c>
      <c r="I363" s="47">
        <f t="shared" si="22"/>
        <v>419.37</v>
      </c>
      <c r="J363" s="47">
        <f t="shared" si="22"/>
        <v>0</v>
      </c>
      <c r="K363" s="47">
        <f t="shared" si="22"/>
        <v>0</v>
      </c>
      <c r="L363" s="47">
        <f t="shared" si="22"/>
        <v>7861.39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0</v>
      </c>
      <c r="G368" s="18">
        <v>0</v>
      </c>
      <c r="H368" s="18">
        <v>0</v>
      </c>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419.37</v>
      </c>
      <c r="G369" s="63">
        <v>0</v>
      </c>
      <c r="H369" s="63">
        <v>0</v>
      </c>
      <c r="I369" s="56">
        <f>SUM(F369:H369)</f>
        <v>419.37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419.37</v>
      </c>
      <c r="G370" s="47">
        <f>SUM(G368:G369)</f>
        <v>0</v>
      </c>
      <c r="H370" s="47">
        <f>SUM(H368:H369)</f>
        <v>0</v>
      </c>
      <c r="I370" s="47">
        <f>SUM(I368:I369)</f>
        <v>419.37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25000</v>
      </c>
      <c r="H397" s="18">
        <v>88.11</v>
      </c>
      <c r="I397" s="18"/>
      <c r="J397" s="24" t="s">
        <v>288</v>
      </c>
      <c r="K397" s="24" t="s">
        <v>288</v>
      </c>
      <c r="L397" s="56">
        <f t="shared" si="26"/>
        <v>25088.11</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v>5000</v>
      </c>
      <c r="H399" s="18">
        <v>100.28</v>
      </c>
      <c r="I399" s="18"/>
      <c r="J399" s="24" t="s">
        <v>288</v>
      </c>
      <c r="K399" s="24" t="s">
        <v>288</v>
      </c>
      <c r="L399" s="56">
        <f t="shared" si="26"/>
        <v>5100.28</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30000</v>
      </c>
      <c r="H402" s="47">
        <f>SUM(H396:H401)</f>
        <v>188.39</v>
      </c>
      <c r="I402" s="47">
        <f>SUM(I396:I401)</f>
        <v>0</v>
      </c>
      <c r="J402" s="45" t="s">
        <v>288</v>
      </c>
      <c r="K402" s="45" t="s">
        <v>288</v>
      </c>
      <c r="L402" s="47">
        <f>SUM(L396:L401)</f>
        <v>30188.39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30000</v>
      </c>
      <c r="H409" s="47">
        <f>H394+H402+H408</f>
        <v>188.39</v>
      </c>
      <c r="I409" s="47">
        <f>I394+I402+I408</f>
        <v>0</v>
      </c>
      <c r="J409" s="24" t="s">
        <v>288</v>
      </c>
      <c r="K409" s="24" t="s">
        <v>288</v>
      </c>
      <c r="L409" s="47">
        <f>L394+L402+L408</f>
        <v>30188.39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165184.01999999999</v>
      </c>
      <c r="G441" s="18">
        <v>150388.28</v>
      </c>
      <c r="H441" s="18"/>
      <c r="I441" s="56">
        <f t="shared" si="33"/>
        <v>315572.3</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165184.01999999999</v>
      </c>
      <c r="G447" s="13">
        <f>SUM(G440:G446)</f>
        <v>150388.28</v>
      </c>
      <c r="H447" s="13">
        <f>SUM(H440:H446)</f>
        <v>0</v>
      </c>
      <c r="I447" s="13">
        <f>SUM(I440:I446)</f>
        <v>315572.3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165184.01999999999</v>
      </c>
      <c r="G460" s="18">
        <v>150388.28</v>
      </c>
      <c r="H460" s="18"/>
      <c r="I460" s="56">
        <f t="shared" si="34"/>
        <v>315572.3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165184.01999999999</v>
      </c>
      <c r="G461" s="83">
        <f>SUM(G455:G460)</f>
        <v>150388.28</v>
      </c>
      <c r="H461" s="83">
        <f>SUM(H455:H460)</f>
        <v>0</v>
      </c>
      <c r="I461" s="83">
        <f>SUM(I455:I460)</f>
        <v>315572.3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165184.01999999999</v>
      </c>
      <c r="G462" s="42">
        <f>G453+G461</f>
        <v>150388.28</v>
      </c>
      <c r="H462" s="42">
        <f>H453+H461</f>
        <v>0</v>
      </c>
      <c r="I462" s="42">
        <f>I453+I461</f>
        <v>315572.3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247953.21</v>
      </c>
      <c r="G466" s="18">
        <v>0</v>
      </c>
      <c r="H466" s="18">
        <v>16332.81</v>
      </c>
      <c r="I466" s="18">
        <v>0</v>
      </c>
      <c r="J466" s="18">
        <v>285383.90999999997</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1871619.5400000003</v>
      </c>
      <c r="G469" s="18">
        <v>7861.39</v>
      </c>
      <c r="H469" s="18">
        <v>89441.89</v>
      </c>
      <c r="I469" s="18">
        <v>0</v>
      </c>
      <c r="J469" s="18">
        <v>30188.39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v>0</v>
      </c>
      <c r="K470" s="24" t="s">
        <v>288</v>
      </c>
      <c r="L470" s="24" t="s">
        <v>288</v>
      </c>
      <c r="N470" s="265"/>
    </row>
    <row r="471" spans="1:14" s="52" customFormat="1" ht="12.2" customHeight="1" x14ac:dyDescent="0.2">
      <c r="A471" s="92" t="s">
        <v>425</v>
      </c>
      <c r="B471" s="75">
        <v>19</v>
      </c>
      <c r="C471" s="80">
        <v>4</v>
      </c>
      <c r="D471" s="2" t="s">
        <v>432</v>
      </c>
      <c r="E471" s="80"/>
      <c r="F471" s="53">
        <f>SUM(F469:F470)</f>
        <v>1871619.5400000003</v>
      </c>
      <c r="G471" s="53">
        <f>SUM(G469:G470)</f>
        <v>7861.39</v>
      </c>
      <c r="H471" s="53">
        <f>SUM(H469:H470)</f>
        <v>89441.89</v>
      </c>
      <c r="I471" s="53">
        <f>SUM(I469:I470)</f>
        <v>0</v>
      </c>
      <c r="J471" s="53">
        <f>SUM(J469:J470)</f>
        <v>30188.39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1942640.2299999995</v>
      </c>
      <c r="G473" s="18">
        <v>7861.39</v>
      </c>
      <c r="H473" s="18">
        <v>89374.879999999976</v>
      </c>
      <c r="I473" s="18">
        <v>0</v>
      </c>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1942640.2299999995</v>
      </c>
      <c r="G475" s="53">
        <f>SUM(G473:G474)</f>
        <v>7861.39</v>
      </c>
      <c r="H475" s="53">
        <f>SUM(H473:H474)</f>
        <v>89374.879999999976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176932.52000000095</v>
      </c>
      <c r="G477" s="53">
        <f>(G466+G471)- G475</f>
        <v>0</v>
      </c>
      <c r="H477" s="53">
        <f>(H466+H471)- H475</f>
        <v>16399.820000000022</v>
      </c>
      <c r="I477" s="53">
        <f>(I466+I471)- I475</f>
        <v>0</v>
      </c>
      <c r="J477" s="53">
        <f>(J466+J471)- J475</f>
        <v>315572.3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851300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1.76</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680000</v>
      </c>
      <c r="G496" s="18"/>
      <c r="H496" s="18"/>
      <c r="I496" s="18"/>
      <c r="J496" s="18"/>
      <c r="K496" s="53">
        <f>SUM(F496:J496)</f>
        <v>680000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117512.5</v>
      </c>
      <c r="G498" s="18"/>
      <c r="H498" s="18"/>
      <c r="I498" s="18"/>
      <c r="J498" s="18"/>
      <c r="K498" s="53">
        <f t="shared" si="35"/>
        <v>117512.5</v>
      </c>
      <c r="L498" s="24" t="s">
        <v>288</v>
      </c>
      <c r="N498" s="265"/>
    </row>
    <row r="499" spans="1:14" s="52" customFormat="1" ht="12.2" customHeight="1" x14ac:dyDescent="0.2">
      <c r="A499" s="200" t="s">
        <v>622</v>
      </c>
      <c r="B499" s="201">
        <v>20</v>
      </c>
      <c r="C499" s="202">
        <v>9</v>
      </c>
      <c r="D499" s="203" t="s">
        <v>432</v>
      </c>
      <c r="E499" s="202"/>
      <c r="F499" s="204">
        <v>595000</v>
      </c>
      <c r="G499" s="204"/>
      <c r="H499" s="204"/>
      <c r="I499" s="204"/>
      <c r="J499" s="204"/>
      <c r="K499" s="205">
        <f t="shared" si="35"/>
        <v>595000</v>
      </c>
      <c r="L499" s="206" t="s">
        <v>288</v>
      </c>
      <c r="N499" s="265"/>
    </row>
    <row r="500" spans="1:14" s="52" customFormat="1" ht="12.2" customHeight="1" thickBot="1" x14ac:dyDescent="0.25">
      <c r="A500" s="22" t="s">
        <v>623</v>
      </c>
      <c r="B500" s="75">
        <v>20</v>
      </c>
      <c r="C500" s="115">
        <v>10</v>
      </c>
      <c r="D500" s="2" t="s">
        <v>432</v>
      </c>
      <c r="E500" s="115"/>
      <c r="F500" s="18">
        <v>106207.5</v>
      </c>
      <c r="G500" s="18"/>
      <c r="H500" s="18"/>
      <c r="I500" s="18"/>
      <c r="J500" s="18"/>
      <c r="K500" s="53">
        <f t="shared" si="35"/>
        <v>106207.5</v>
      </c>
      <c r="L500" s="24" t="s">
        <v>288</v>
      </c>
      <c r="N500" s="265"/>
    </row>
    <row r="501" spans="1:14" s="52" customFormat="1" ht="12.2" customHeight="1" thickTop="1" x14ac:dyDescent="0.2">
      <c r="A501" s="139" t="s">
        <v>624</v>
      </c>
      <c r="B501" s="44">
        <v>20</v>
      </c>
      <c r="C501" s="195">
        <v>11</v>
      </c>
      <c r="D501" s="39" t="s">
        <v>432</v>
      </c>
      <c r="E501" s="195"/>
      <c r="F501" s="42">
        <f>SUM(F499:F500)</f>
        <v>701207.5</v>
      </c>
      <c r="G501" s="42">
        <f>SUM(G499:G500)</f>
        <v>0</v>
      </c>
      <c r="H501" s="42">
        <f>SUM(H499:H500)</f>
        <v>0</v>
      </c>
      <c r="I501" s="42">
        <f>SUM(I499:I500)</f>
        <v>0</v>
      </c>
      <c r="J501" s="42">
        <f>SUM(J499:J500)</f>
        <v>0</v>
      </c>
      <c r="K501" s="42">
        <f t="shared" si="35"/>
        <v>701207.5</v>
      </c>
      <c r="L501" s="45" t="s">
        <v>288</v>
      </c>
      <c r="N501" s="265"/>
    </row>
    <row r="502" spans="1:14" s="52" customFormat="1" ht="12.2" customHeight="1" x14ac:dyDescent="0.2">
      <c r="A502" s="200" t="s">
        <v>651</v>
      </c>
      <c r="B502" s="201">
        <v>20</v>
      </c>
      <c r="C502" s="202">
        <v>12</v>
      </c>
      <c r="D502" s="203" t="s">
        <v>432</v>
      </c>
      <c r="E502" s="202"/>
      <c r="F502" s="204">
        <v>85000</v>
      </c>
      <c r="G502" s="204"/>
      <c r="H502" s="204"/>
      <c r="I502" s="204"/>
      <c r="J502" s="204"/>
      <c r="K502" s="205">
        <f t="shared" si="35"/>
        <v>85000</v>
      </c>
      <c r="L502" s="206" t="s">
        <v>288</v>
      </c>
      <c r="N502" s="265"/>
    </row>
    <row r="503" spans="1:14" s="52" customFormat="1" ht="12.2" customHeight="1" thickBot="1" x14ac:dyDescent="0.25">
      <c r="A503" s="22" t="s">
        <v>625</v>
      </c>
      <c r="B503" s="75">
        <v>20</v>
      </c>
      <c r="C503" s="115">
        <v>13</v>
      </c>
      <c r="D503" s="2" t="s">
        <v>432</v>
      </c>
      <c r="E503" s="115"/>
      <c r="F503" s="18">
        <v>28177.5</v>
      </c>
      <c r="G503" s="18"/>
      <c r="H503" s="18"/>
      <c r="I503" s="18"/>
      <c r="J503" s="18"/>
      <c r="K503" s="53">
        <f t="shared" si="35"/>
        <v>28177.5</v>
      </c>
      <c r="L503" s="24" t="s">
        <v>288</v>
      </c>
      <c r="N503" s="265"/>
    </row>
    <row r="504" spans="1:14" s="52" customFormat="1" ht="12.2" customHeight="1" thickTop="1" x14ac:dyDescent="0.2">
      <c r="A504" s="139" t="s">
        <v>626</v>
      </c>
      <c r="B504" s="44">
        <v>20</v>
      </c>
      <c r="C504" s="195">
        <v>14</v>
      </c>
      <c r="D504" s="39" t="s">
        <v>432</v>
      </c>
      <c r="E504" s="195"/>
      <c r="F504" s="42">
        <f>SUM(F502:F503)</f>
        <v>113177.5</v>
      </c>
      <c r="G504" s="42">
        <f>SUM(G502:G503)</f>
        <v>0</v>
      </c>
      <c r="H504" s="42">
        <f>SUM(H502:H503)</f>
        <v>0</v>
      </c>
      <c r="I504" s="42">
        <f>SUM(I502:I503)</f>
        <v>0</v>
      </c>
      <c r="J504" s="42">
        <f>SUM(J502:J503)</f>
        <v>0</v>
      </c>
      <c r="K504" s="42">
        <f t="shared" si="35"/>
        <v>113177.5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137394.95000000001</v>
      </c>
      <c r="G522" s="18">
        <v>76283.590000000011</v>
      </c>
      <c r="H522" s="18">
        <v>1050</v>
      </c>
      <c r="I522" s="18">
        <v>3912.1100000000006</v>
      </c>
      <c r="J522" s="18">
        <v>10186.39</v>
      </c>
      <c r="K522" s="18">
        <v>0</v>
      </c>
      <c r="L522" s="88">
        <f>SUM(F522:K522)</f>
        <v>228827.04000000004</v>
      </c>
      <c r="N522" s="265"/>
    </row>
    <row r="523" spans="1:14" s="52" customFormat="1" ht="12.2" customHeight="1" x14ac:dyDescent="0.2">
      <c r="A523" s="22" t="s">
        <v>634</v>
      </c>
      <c r="B523" s="105">
        <v>21</v>
      </c>
      <c r="C523" s="115">
        <v>2</v>
      </c>
      <c r="D523" s="2" t="s">
        <v>432</v>
      </c>
      <c r="E523" s="115"/>
      <c r="F523" s="18">
        <v>0</v>
      </c>
      <c r="G523" s="18">
        <v>0</v>
      </c>
      <c r="H523" s="18">
        <v>57928</v>
      </c>
      <c r="I523" s="18">
        <v>0</v>
      </c>
      <c r="J523" s="18">
        <v>0</v>
      </c>
      <c r="K523" s="18">
        <v>0</v>
      </c>
      <c r="L523" s="88">
        <f>SUM(F523:K523)</f>
        <v>57928</v>
      </c>
      <c r="N523" s="265"/>
    </row>
    <row r="524" spans="1:14" s="52" customFormat="1" ht="12.2" customHeight="1" thickBot="1" x14ac:dyDescent="0.25">
      <c r="A524" s="22" t="s">
        <v>635</v>
      </c>
      <c r="B524" s="105">
        <v>21</v>
      </c>
      <c r="C524" s="115">
        <v>3</v>
      </c>
      <c r="D524" s="2" t="s">
        <v>432</v>
      </c>
      <c r="E524" s="115"/>
      <c r="F524" s="18">
        <v>0</v>
      </c>
      <c r="G524" s="18">
        <v>0</v>
      </c>
      <c r="H524" s="18">
        <v>0</v>
      </c>
      <c r="I524" s="18">
        <v>0</v>
      </c>
      <c r="J524" s="18">
        <v>0</v>
      </c>
      <c r="K524" s="18">
        <v>0</v>
      </c>
      <c r="L524" s="88">
        <f>SUM(F524:K524)</f>
        <v>0</v>
      </c>
      <c r="N524" s="265"/>
    </row>
    <row r="525" spans="1:14" s="52" customFormat="1" ht="12.2" customHeight="1" thickTop="1" x14ac:dyDescent="0.2">
      <c r="A525" s="139" t="s">
        <v>63</v>
      </c>
      <c r="B525" s="107">
        <v>21</v>
      </c>
      <c r="C525" s="195">
        <v>4</v>
      </c>
      <c r="D525" s="196" t="s">
        <v>432</v>
      </c>
      <c r="E525" s="195"/>
      <c r="F525" s="108">
        <f>SUM(F522:F524)</f>
        <v>137394.95000000001</v>
      </c>
      <c r="G525" s="108">
        <f t="shared" ref="G525:L525" si="36">SUM(G522:G524)</f>
        <v>76283.590000000011</v>
      </c>
      <c r="H525" s="108">
        <f t="shared" si="36"/>
        <v>58978</v>
      </c>
      <c r="I525" s="108">
        <f t="shared" si="36"/>
        <v>3912.1100000000006</v>
      </c>
      <c r="J525" s="108">
        <f t="shared" si="36"/>
        <v>10186.39</v>
      </c>
      <c r="K525" s="108">
        <f t="shared" si="36"/>
        <v>0</v>
      </c>
      <c r="L525" s="89">
        <f t="shared" si="36"/>
        <v>286755.04000000004</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12712.96</v>
      </c>
      <c r="G527" s="18">
        <v>1025.8599999999999</v>
      </c>
      <c r="H527" s="18">
        <v>19066.28</v>
      </c>
      <c r="I527" s="18">
        <v>148.29000000000002</v>
      </c>
      <c r="J527" s="18">
        <v>0</v>
      </c>
      <c r="K527" s="18">
        <v>0</v>
      </c>
      <c r="L527" s="88">
        <f>SUM(F527:K527)</f>
        <v>32953.39</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6"/>
    </row>
    <row r="530" spans="1:14" s="3" customFormat="1" ht="12.2" customHeight="1" thickTop="1" x14ac:dyDescent="0.15">
      <c r="A530" s="139" t="s">
        <v>65</v>
      </c>
      <c r="B530" s="107">
        <v>21</v>
      </c>
      <c r="C530" s="107">
        <v>8</v>
      </c>
      <c r="D530" s="158" t="s">
        <v>432</v>
      </c>
      <c r="E530" s="107"/>
      <c r="F530" s="89">
        <f>SUM(F527:F529)</f>
        <v>12712.96</v>
      </c>
      <c r="G530" s="89">
        <f t="shared" ref="G530:L530" si="37">SUM(G527:G529)</f>
        <v>1025.8599999999999</v>
      </c>
      <c r="H530" s="89">
        <f t="shared" si="37"/>
        <v>19066.28</v>
      </c>
      <c r="I530" s="89">
        <f t="shared" si="37"/>
        <v>148.29000000000002</v>
      </c>
      <c r="J530" s="89">
        <f t="shared" si="37"/>
        <v>0</v>
      </c>
      <c r="K530" s="89">
        <f t="shared" si="37"/>
        <v>0</v>
      </c>
      <c r="L530" s="89">
        <f t="shared" si="37"/>
        <v>32953.39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0</v>
      </c>
      <c r="G532" s="18">
        <v>0</v>
      </c>
      <c r="H532" s="18">
        <v>10687</v>
      </c>
      <c r="I532" s="18">
        <v>0</v>
      </c>
      <c r="J532" s="18">
        <v>0</v>
      </c>
      <c r="K532" s="18">
        <v>973.87</v>
      </c>
      <c r="L532" s="88">
        <f>SUM(F532:K532)</f>
        <v>11660.87</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10687</v>
      </c>
      <c r="I535" s="89">
        <f t="shared" si="38"/>
        <v>0</v>
      </c>
      <c r="J535" s="89">
        <f t="shared" si="38"/>
        <v>0</v>
      </c>
      <c r="K535" s="89">
        <f t="shared" si="38"/>
        <v>973.87</v>
      </c>
      <c r="L535" s="89">
        <f t="shared" si="38"/>
        <v>11660.87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150107.91</v>
      </c>
      <c r="G546" s="89">
        <f t="shared" ref="G546:L546" si="41">G525+G530+G535+G540+G545</f>
        <v>77309.450000000012</v>
      </c>
      <c r="H546" s="89">
        <f t="shared" si="41"/>
        <v>88731.28</v>
      </c>
      <c r="I546" s="89">
        <f t="shared" si="41"/>
        <v>4060.4000000000005</v>
      </c>
      <c r="J546" s="89">
        <f t="shared" si="41"/>
        <v>10186.39</v>
      </c>
      <c r="K546" s="89">
        <f t="shared" si="41"/>
        <v>973.87</v>
      </c>
      <c r="L546" s="89">
        <f t="shared" si="41"/>
        <v>331369.30000000005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228827.04000000004</v>
      </c>
      <c r="G550" s="87">
        <f>L527</f>
        <v>32953.39</v>
      </c>
      <c r="H550" s="87">
        <f>L532</f>
        <v>11660.87</v>
      </c>
      <c r="I550" s="87">
        <f>L537</f>
        <v>0</v>
      </c>
      <c r="J550" s="87">
        <f>L542</f>
        <v>0</v>
      </c>
      <c r="K550" s="87">
        <f>SUM(F550:J550)</f>
        <v>273441.30000000005</v>
      </c>
      <c r="L550" s="24" t="s">
        <v>288</v>
      </c>
      <c r="M550" s="8"/>
      <c r="N550" s="266"/>
    </row>
    <row r="551" spans="1:14" s="3" customFormat="1" ht="12.2" customHeight="1" x14ac:dyDescent="0.15">
      <c r="A551" s="22" t="s">
        <v>634</v>
      </c>
      <c r="B551" s="75">
        <v>21</v>
      </c>
      <c r="C551" s="75">
        <v>23</v>
      </c>
      <c r="D551" s="2" t="s">
        <v>432</v>
      </c>
      <c r="E551" s="75"/>
      <c r="F551" s="87">
        <f>L523</f>
        <v>57928</v>
      </c>
      <c r="G551" s="87">
        <f>L528</f>
        <v>0</v>
      </c>
      <c r="H551" s="87">
        <f>L533</f>
        <v>0</v>
      </c>
      <c r="I551" s="87">
        <f>L538</f>
        <v>0</v>
      </c>
      <c r="J551" s="87">
        <f>L543</f>
        <v>0</v>
      </c>
      <c r="K551" s="87">
        <f>SUM(F551:J551)</f>
        <v>57928</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286755.04000000004</v>
      </c>
      <c r="G553" s="89">
        <f t="shared" si="42"/>
        <v>32953.39</v>
      </c>
      <c r="H553" s="89">
        <f t="shared" si="42"/>
        <v>11660.87</v>
      </c>
      <c r="I553" s="89">
        <f t="shared" si="42"/>
        <v>0</v>
      </c>
      <c r="J553" s="89">
        <f t="shared" si="42"/>
        <v>0</v>
      </c>
      <c r="K553" s="89">
        <f t="shared" si="42"/>
        <v>331369.30000000005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163307.4</v>
      </c>
      <c r="H576" s="18">
        <v>205227</v>
      </c>
      <c r="I576" s="87">
        <f>SUM(F576:H576)</f>
        <v>368534.4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0</v>
      </c>
      <c r="G580" s="18">
        <v>57928</v>
      </c>
      <c r="H580" s="18">
        <v>0</v>
      </c>
      <c r="I580" s="87">
        <f t="shared" si="47"/>
        <v>57928</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55543.6</v>
      </c>
      <c r="I592" s="18">
        <v>27771.8</v>
      </c>
      <c r="J592" s="18">
        <v>27771.8</v>
      </c>
      <c r="K592" s="104">
        <f t="shared" ref="K592:K598" si="48">SUM(H592:J592)</f>
        <v>111087.2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55543.6</v>
      </c>
      <c r="I599" s="108">
        <f>SUM(I592:I598)</f>
        <v>27771.8</v>
      </c>
      <c r="J599" s="108">
        <f>SUM(J592:J598)</f>
        <v>27771.8</v>
      </c>
      <c r="K599" s="108">
        <f>SUM(K592:K598)</f>
        <v>111087.2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35162.340000000004</v>
      </c>
      <c r="I605" s="18"/>
      <c r="J605" s="18"/>
      <c r="K605" s="104">
        <f>SUM(H605:J605)</f>
        <v>35162.340000000004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35162.340000000004</v>
      </c>
      <c r="I606" s="108">
        <f>SUM(I603:I605)</f>
        <v>0</v>
      </c>
      <c r="J606" s="108">
        <f>SUM(J603:J605)</f>
        <v>0</v>
      </c>
      <c r="K606" s="108">
        <f>SUM(K603:K605)</f>
        <v>35162.340000000004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1800</v>
      </c>
      <c r="G612" s="18">
        <v>465.46999999999997</v>
      </c>
      <c r="H612" s="18"/>
      <c r="I612" s="18"/>
      <c r="J612" s="18"/>
      <c r="K612" s="18"/>
      <c r="L612" s="88">
        <f>SUM(F612:K612)</f>
        <v>2265.4699999999998</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1800</v>
      </c>
      <c r="G615" s="108">
        <f t="shared" si="49"/>
        <v>465.46999999999997</v>
      </c>
      <c r="H615" s="108">
        <f t="shared" si="49"/>
        <v>0</v>
      </c>
      <c r="I615" s="108">
        <f t="shared" si="49"/>
        <v>0</v>
      </c>
      <c r="J615" s="108">
        <f t="shared" si="49"/>
        <v>0</v>
      </c>
      <c r="K615" s="108">
        <f t="shared" si="49"/>
        <v>0</v>
      </c>
      <c r="L615" s="89">
        <f t="shared" si="49"/>
        <v>2265.4699999999998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210498.35000000003</v>
      </c>
      <c r="H618" s="109">
        <f>SUM(F52)</f>
        <v>210498.35000000003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200.6</v>
      </c>
      <c r="H619" s="109">
        <f>SUM(G52)</f>
        <v>200.6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57913.970000000008</v>
      </c>
      <c r="H620" s="109">
        <f>SUM(H52)</f>
        <v>57913.97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315572.3</v>
      </c>
      <c r="H622" s="109">
        <f>SUM(J52)</f>
        <v>315572.3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176932.52000000002</v>
      </c>
      <c r="H623" s="109">
        <f>F477</f>
        <v>176932.52000000095</v>
      </c>
      <c r="I623" s="121" t="s">
        <v>101</v>
      </c>
      <c r="J623" s="109">
        <f t="shared" ref="J623:J656" si="50">G623-H623</f>
        <v>-9.3132257461547852E-10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16399.82</v>
      </c>
      <c r="H625" s="109">
        <f>H477</f>
        <v>16399.820000000022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315572.3</v>
      </c>
      <c r="H627" s="109">
        <f>J477</f>
        <v>315572.3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1871619.5400000003</v>
      </c>
      <c r="H628" s="104">
        <f>SUM(F469)</f>
        <v>1871619.5400000003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7861.39</v>
      </c>
      <c r="H629" s="104">
        <f>SUM(G469)</f>
        <v>7861.39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89441.89</v>
      </c>
      <c r="H630" s="104">
        <f>SUM(H469)</f>
        <v>89441.89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30188.39</v>
      </c>
      <c r="H632" s="104">
        <f>SUM(J469)</f>
        <v>30188.39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1942640.23</v>
      </c>
      <c r="H633" s="104">
        <f>SUM(F473)</f>
        <v>1942640.2299999995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89374.87999999999</v>
      </c>
      <c r="H634" s="104">
        <f>SUM(H473)</f>
        <v>89374.879999999976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419.37</v>
      </c>
      <c r="H635" s="104">
        <f>I370</f>
        <v>419.37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7861.39</v>
      </c>
      <c r="H636" s="104">
        <f>SUM(G473)</f>
        <v>7861.39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30188.39</v>
      </c>
      <c r="H638" s="164">
        <f>SUM(J469)</f>
        <v>30188.39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165184.01999999999</v>
      </c>
      <c r="H640" s="104">
        <f>SUM(F462)</f>
        <v>165184.01999999999</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150388.28</v>
      </c>
      <c r="H641" s="104">
        <f>SUM(G462)</f>
        <v>150388.28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315572.3</v>
      </c>
      <c r="H643" s="104">
        <f>SUM(I462)</f>
        <v>315572.3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188.39</v>
      </c>
      <c r="H645" s="104">
        <f>H409</f>
        <v>188.39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30000</v>
      </c>
      <c r="H646" s="104">
        <f>G409</f>
        <v>30000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30188.39</v>
      </c>
      <c r="H647" s="104">
        <f>L409</f>
        <v>30188.39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111087.2</v>
      </c>
      <c r="H648" s="104">
        <f>L209+L227+L245</f>
        <v>111087.2</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35162.340000000004</v>
      </c>
      <c r="H649" s="104">
        <f>(J258+J339)-(J256+J337)</f>
        <v>35162.339999999997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55543.6</v>
      </c>
      <c r="H650" s="104">
        <f>H599</f>
        <v>55543.6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27771.8</v>
      </c>
      <c r="H651" s="104">
        <f>I599</f>
        <v>27771.8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27771.8</v>
      </c>
      <c r="H652" s="104">
        <f>J599</f>
        <v>27771.8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7861.39</v>
      </c>
      <c r="H653" s="104">
        <f>K264+K346</f>
        <v>7861.39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30000</v>
      </c>
      <c r="H656" s="104">
        <f>K267+K348</f>
        <v>30000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1402496.6099999999</v>
      </c>
      <c r="G661" s="19">
        <f>(L230+L310+L360)</f>
        <v>249007.19999999998</v>
      </c>
      <c r="H661" s="19">
        <f>(L248+L329+L361)</f>
        <v>232998.8</v>
      </c>
      <c r="I661" s="19">
        <f>SUM(F661:H661)</f>
        <v>1884502.6099999999</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55543.6</v>
      </c>
      <c r="G663" s="19">
        <f>(L227+L307)-(J227+J307)</f>
        <v>27771.8</v>
      </c>
      <c r="H663" s="19">
        <f>(L245+L326)-(J245+J326)</f>
        <v>27771.8</v>
      </c>
      <c r="I663" s="19">
        <f>SUM(F663:H663)</f>
        <v>111087.2</v>
      </c>
      <c r="J663"/>
      <c r="K663" s="13"/>
      <c r="L663" s="13"/>
      <c r="M663" s="9"/>
    </row>
    <row r="664" spans="1:13" s="3" customFormat="1" ht="12.2" customHeight="1" x14ac:dyDescent="0.15">
      <c r="A664" s="198" t="s">
        <v>129</v>
      </c>
      <c r="B664" s="169"/>
      <c r="C664" s="169"/>
      <c r="D664" s="169"/>
      <c r="E664" s="169"/>
      <c r="F664" s="199">
        <f>SUM(F576:F588)+SUM(H603:H605)+SUM(L612)</f>
        <v>37427.810000000005</v>
      </c>
      <c r="G664" s="199">
        <f>SUM(G576:G588)+SUM(I603:I605)+L613</f>
        <v>221235.4</v>
      </c>
      <c r="H664" s="199">
        <f>SUM(H576:H588)+SUM(J603:J605)+L614</f>
        <v>205227</v>
      </c>
      <c r="I664" s="19">
        <f>SUM(F664:H664)</f>
        <v>463890.20999999996</v>
      </c>
      <c r="J664" s="13"/>
      <c r="K664" s="13"/>
      <c r="L664" s="13"/>
      <c r="M664" s="9"/>
    </row>
    <row r="665" spans="1:13" s="3" customFormat="1" ht="12.2" customHeight="1" x14ac:dyDescent="0.15">
      <c r="A665" s="1" t="s">
        <v>130</v>
      </c>
      <c r="F665" s="19">
        <f>F661-SUM(F662:F664)</f>
        <v>1309525.2</v>
      </c>
      <c r="G665" s="19">
        <f>G661-SUM(G662:G664)</f>
        <v>0</v>
      </c>
      <c r="H665" s="19">
        <f>H661-SUM(H662:H664)</f>
        <v>0</v>
      </c>
      <c r="I665" s="19">
        <f>I661-SUM(I662:I664)</f>
        <v>1309525.2</v>
      </c>
      <c r="J665" s="13"/>
      <c r="K665" s="13"/>
      <c r="L665" s="13"/>
      <c r="M665" s="8"/>
    </row>
    <row r="666" spans="1:13" s="3" customFormat="1" ht="12.2" customHeight="1" x14ac:dyDescent="0.2">
      <c r="A666" s="1" t="s">
        <v>131</v>
      </c>
      <c r="F666" s="246">
        <v>61.84</v>
      </c>
      <c r="G666" s="247"/>
      <c r="H666" s="247"/>
      <c r="I666" s="19">
        <f>SUM(F666:H666)</f>
        <v>61.84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21176.02</v>
      </c>
      <c r="G668" s="19" t="e">
        <f>ROUND(G665/G666,2)</f>
        <v>#DIV/0!</v>
      </c>
      <c r="H668" s="19" t="e">
        <f>ROUND(H665/H666,2)</f>
        <v>#DIV/0!</v>
      </c>
      <c r="I668" s="19">
        <f>ROUND(I665/I666,2)</f>
        <v>21176.02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21176.02</v>
      </c>
      <c r="G673" s="19" t="e">
        <f>ROUND((G665+G670)/(G666+G671),2)</f>
        <v>#DIV/0!</v>
      </c>
      <c r="H673" s="19" t="e">
        <f>ROUND((H665+H670)/(H666+H671),2)</f>
        <v>#DIV/0!</v>
      </c>
      <c r="I673" s="19">
        <f>ROUND((I665+I670)/(I666+I671),2)</f>
        <v>21176.02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1" sqref="E31"/>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16383.64</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132000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14499.63</v>
      </c>
      <c r="F22" s="348"/>
    </row>
    <row r="23" spans="2:8" x14ac:dyDescent="0.25">
      <c r="B23" s="348"/>
      <c r="C23" s="348"/>
      <c r="D23" s="348"/>
      <c r="E23" s="348"/>
      <c r="F23" s="348"/>
    </row>
    <row r="24" spans="2:8" ht="26.25" customHeight="1" x14ac:dyDescent="0.25">
      <c r="B24" s="348"/>
      <c r="C24" s="350" t="s">
        <v>1661</v>
      </c>
      <c r="D24" s="348"/>
      <c r="E24" s="343">
        <v>6520.76</v>
      </c>
      <c r="F24" s="348"/>
    </row>
    <row r="25" spans="2:8" ht="18" x14ac:dyDescent="0.25">
      <c r="B25" s="348"/>
      <c r="C25" s="351"/>
      <c r="D25" s="348"/>
      <c r="E25" s="348"/>
      <c r="F25" s="348"/>
    </row>
    <row r="26" spans="2:8" ht="27.75" customHeight="1" x14ac:dyDescent="0.25">
      <c r="B26" s="348"/>
      <c r="C26" s="350" t="s">
        <v>1662</v>
      </c>
      <c r="D26" s="348"/>
      <c r="E26" s="343">
        <v>7978.87</v>
      </c>
      <c r="F26" s="348"/>
    </row>
    <row r="27" spans="2:8" x14ac:dyDescent="0.25">
      <c r="B27" s="348"/>
      <c r="C27" s="350"/>
      <c r="D27" s="348"/>
      <c r="E27" s="348"/>
      <c r="F27" s="348"/>
    </row>
    <row r="28" spans="2:8" ht="15.75" customHeight="1" x14ac:dyDescent="0.25">
      <c r="B28" s="348"/>
      <c r="C28" s="350" t="s">
        <v>1663</v>
      </c>
      <c r="D28" s="348"/>
      <c r="E28" s="344">
        <v>15084.01</v>
      </c>
      <c r="F28" s="348"/>
    </row>
    <row r="29" spans="2:8" x14ac:dyDescent="0.25">
      <c r="B29" s="348"/>
      <c r="C29" s="348"/>
      <c r="D29" s="348"/>
      <c r="E29" s="348"/>
      <c r="F29" s="348"/>
    </row>
    <row r="30" spans="2:8" ht="16.5" customHeight="1" x14ac:dyDescent="0.25">
      <c r="B30" s="348"/>
      <c r="C30" s="350" t="s">
        <v>1664</v>
      </c>
      <c r="D30" s="348"/>
      <c r="E30" s="343">
        <v>2079.7800000000002</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Nelson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7861.39</v>
      </c>
      <c r="F17" s="317" t="s">
        <v>1596</v>
      </c>
    </row>
    <row r="18" spans="1:6" ht="15" x14ac:dyDescent="0.2">
      <c r="A18" s="317" t="s">
        <v>1583</v>
      </c>
      <c r="B18" s="330"/>
      <c r="F18" s="326" t="s">
        <v>1620</v>
      </c>
    </row>
    <row r="19" spans="1:6" ht="18" x14ac:dyDescent="0.25">
      <c r="A19" s="319" t="s">
        <v>725</v>
      </c>
      <c r="B19" s="321">
        <f>SUM(B17:B18)</f>
        <v>7861.39</v>
      </c>
    </row>
    <row r="21" spans="1:6" ht="18.75" thickBot="1" x14ac:dyDescent="0.3">
      <c r="A21" s="319" t="s">
        <v>1584</v>
      </c>
    </row>
    <row r="22" spans="1:6" ht="18.75" thickTop="1" x14ac:dyDescent="0.25">
      <c r="A22" s="319" t="s">
        <v>1585</v>
      </c>
      <c r="B22" s="325">
        <f>B14-B19</f>
        <v>-7861.39</v>
      </c>
      <c r="F22" s="317" t="s">
        <v>1597</v>
      </c>
    </row>
    <row r="26" spans="1:6" ht="18" x14ac:dyDescent="0.25">
      <c r="A26" s="319" t="s">
        <v>186</v>
      </c>
    </row>
    <row r="27" spans="1:6" ht="15" x14ac:dyDescent="0.2">
      <c r="A27" s="317" t="s">
        <v>1586</v>
      </c>
      <c r="B27" s="320">
        <f>'DOE25'!G180</f>
        <v>7861.39</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F28" sqref="F2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Nelson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413473.61</v>
      </c>
      <c r="C9" s="229">
        <f>'DOE25'!G198+'DOE25'!G216+'DOE25'!G234+'DOE25'!G277+'DOE25'!G296+'DOE25'!G315</f>
        <v>136605.29999999999</v>
      </c>
    </row>
    <row r="10" spans="1:3" x14ac:dyDescent="0.2">
      <c r="A10" t="s">
        <v>775</v>
      </c>
      <c r="B10" s="240">
        <v>407548.35</v>
      </c>
      <c r="C10" s="240">
        <v>135321.06214590819</v>
      </c>
    </row>
    <row r="11" spans="1:3" x14ac:dyDescent="0.2">
      <c r="A11" t="s">
        <v>776</v>
      </c>
      <c r="B11" s="240">
        <v>3887.1</v>
      </c>
      <c r="C11" s="240">
        <v>1284.2378540918246</v>
      </c>
    </row>
    <row r="12" spans="1:3" x14ac:dyDescent="0.2">
      <c r="A12" t="s">
        <v>777</v>
      </c>
      <c r="B12" s="240">
        <v>2038.1599999999999</v>
      </c>
      <c r="C12" s="240"/>
    </row>
    <row r="13" spans="1:3" x14ac:dyDescent="0.2">
      <c r="A13" t="str">
        <f>IF(B9=B13,IF(C9=C13,"Check Total OK","Check Total Error"),"Check Total Error")</f>
        <v>Check Total OK</v>
      </c>
      <c r="B13" s="231">
        <f>SUM(B10:B12)</f>
        <v>413473.60999999993</v>
      </c>
      <c r="C13" s="231">
        <f>SUM(C10:C12)</f>
        <v>136605.30000000002</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137394.95000000001</v>
      </c>
      <c r="C18" s="229">
        <f>'DOE25'!G199+'DOE25'!G217+'DOE25'!G235+'DOE25'!G278+'DOE25'!G297+'DOE25'!G316</f>
        <v>76283.590000000011</v>
      </c>
    </row>
    <row r="19" spans="1:3" x14ac:dyDescent="0.2">
      <c r="A19" t="s">
        <v>775</v>
      </c>
      <c r="B19" s="240">
        <v>50182.1</v>
      </c>
      <c r="C19" s="240">
        <v>27861.8</v>
      </c>
    </row>
    <row r="20" spans="1:3" x14ac:dyDescent="0.2">
      <c r="A20" t="s">
        <v>776</v>
      </c>
      <c r="B20" s="240">
        <v>87212.85</v>
      </c>
      <c r="C20" s="240">
        <v>48421.79</v>
      </c>
    </row>
    <row r="21" spans="1:3" x14ac:dyDescent="0.2">
      <c r="A21" t="s">
        <v>777</v>
      </c>
      <c r="B21" s="240"/>
      <c r="C21" s="240"/>
    </row>
    <row r="22" spans="1:3" x14ac:dyDescent="0.2">
      <c r="A22" t="str">
        <f>IF(B18=B22,IF(C18=C22,"Check Total OK","Check Total Error"),"Check Total Error")</f>
        <v>Check Total OK</v>
      </c>
      <c r="B22" s="231">
        <f>SUM(B19:B21)</f>
        <v>137394.95000000001</v>
      </c>
      <c r="C22" s="231">
        <f>SUM(C19:C21)</f>
        <v>76283.59</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1800</v>
      </c>
      <c r="C36" s="235">
        <f>'DOE25'!G201+'DOE25'!G219+'DOE25'!G237+'DOE25'!G280+'DOE25'!G299+'DOE25'!G318</f>
        <v>465.46999999999997</v>
      </c>
    </row>
    <row r="37" spans="1:3" x14ac:dyDescent="0.2">
      <c r="A37" t="s">
        <v>775</v>
      </c>
      <c r="B37" s="240">
        <v>1800</v>
      </c>
      <c r="C37" s="240">
        <v>465.46999999999997</v>
      </c>
    </row>
    <row r="38" spans="1:3" x14ac:dyDescent="0.2">
      <c r="A38" t="s">
        <v>776</v>
      </c>
      <c r="B38" s="240">
        <v>0</v>
      </c>
      <c r="C38" s="240">
        <v>0</v>
      </c>
    </row>
    <row r="39" spans="1:3" x14ac:dyDescent="0.2">
      <c r="A39" t="s">
        <v>777</v>
      </c>
      <c r="B39" s="240">
        <v>0</v>
      </c>
      <c r="C39" s="240"/>
    </row>
    <row r="40" spans="1:3" x14ac:dyDescent="0.2">
      <c r="A40" t="str">
        <f>IF(B36=B40,IF(C36=C40,"Check Total OK","Check Total Error"),"Check Total Error")</f>
        <v>Check Total OK</v>
      </c>
      <c r="B40" s="231">
        <f>SUM(B37:B39)</f>
        <v>1800</v>
      </c>
      <c r="C40" s="231">
        <f>SUM(C37:C39)</f>
        <v>465.46999999999997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Nelson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1207393.73</v>
      </c>
      <c r="D5" s="20">
        <f>SUM('DOE25'!L198:L201)+SUM('DOE25'!L216:L219)+SUM('DOE25'!L234:L237)-F5-G5-H5</f>
        <v>1204832.6299999999</v>
      </c>
      <c r="E5" s="243"/>
      <c r="F5" s="244"/>
      <c r="G5" s="53">
        <f>SUM('DOE25'!J198:J201)+SUM('DOE25'!J216:J219)+SUM('DOE25'!J234:J237)</f>
        <v>2337.2600000000002</v>
      </c>
      <c r="H5" s="53">
        <f>SUM('DOE25'!K198:K201)+SUM('DOE25'!K216:K219)+SUM('DOE25'!K234:K237)</f>
        <v>223.84</v>
      </c>
      <c r="I5" s="256"/>
    </row>
    <row r="6" spans="1:9" x14ac:dyDescent="0.2">
      <c r="A6" s="32">
        <v>2100</v>
      </c>
      <c r="B6" t="s">
        <v>796</v>
      </c>
      <c r="C6" s="275">
        <f t="shared" si="0"/>
        <v>53407.21</v>
      </c>
      <c r="D6" s="20">
        <f>'DOE25'!L203+'DOE25'!L221+'DOE25'!L239-F6-G6-H6</f>
        <v>53407.21</v>
      </c>
      <c r="E6" s="243"/>
      <c r="F6" s="244"/>
      <c r="G6" s="53">
        <f>'DOE25'!J203+'DOE25'!J221+'DOE25'!J239</f>
        <v>0</v>
      </c>
      <c r="H6" s="53">
        <f>'DOE25'!K203+'DOE25'!K221+'DOE25'!K239</f>
        <v>0</v>
      </c>
      <c r="I6" s="256"/>
    </row>
    <row r="7" spans="1:9" x14ac:dyDescent="0.2">
      <c r="A7" s="32">
        <v>2200</v>
      </c>
      <c r="B7" t="s">
        <v>821</v>
      </c>
      <c r="C7" s="275">
        <f t="shared" si="0"/>
        <v>9071.9699999999993</v>
      </c>
      <c r="D7" s="20">
        <f>'DOE25'!L204+'DOE25'!L222+'DOE25'!L240-F7-G7-H7</f>
        <v>9071.9699999999993</v>
      </c>
      <c r="E7" s="243"/>
      <c r="F7" s="244"/>
      <c r="G7" s="53">
        <f>'DOE25'!J204+'DOE25'!J222+'DOE25'!J240</f>
        <v>0</v>
      </c>
      <c r="H7" s="53">
        <f>'DOE25'!K204+'DOE25'!K222+'DOE25'!K240</f>
        <v>0</v>
      </c>
      <c r="I7" s="256"/>
    </row>
    <row r="8" spans="1:9" x14ac:dyDescent="0.2">
      <c r="A8" s="32">
        <v>2300</v>
      </c>
      <c r="B8" t="s">
        <v>797</v>
      </c>
      <c r="C8" s="275">
        <f t="shared" si="0"/>
        <v>97679</v>
      </c>
      <c r="D8" s="243"/>
      <c r="E8" s="20">
        <f>'DOE25'!L205+'DOE25'!L223+'DOE25'!L241-F8-G8-H8-D9-D11</f>
        <v>97655</v>
      </c>
      <c r="F8" s="244"/>
      <c r="G8" s="53">
        <f>'DOE25'!J205+'DOE25'!J223+'DOE25'!J241</f>
        <v>0</v>
      </c>
      <c r="H8" s="53">
        <f>'DOE25'!K205+'DOE25'!K223+'DOE25'!K241</f>
        <v>24</v>
      </c>
      <c r="I8" s="256"/>
    </row>
    <row r="9" spans="1:9" ht="14.25" x14ac:dyDescent="0.2">
      <c r="A9" s="32">
        <v>2310</v>
      </c>
      <c r="B9" s="185" t="s">
        <v>888</v>
      </c>
      <c r="C9" s="275">
        <f t="shared" si="0"/>
        <v>4459.05</v>
      </c>
      <c r="D9" s="244">
        <v>4459.05</v>
      </c>
      <c r="E9" s="243"/>
      <c r="F9" s="253"/>
      <c r="G9" s="253"/>
      <c r="H9" s="253"/>
      <c r="I9" s="256"/>
    </row>
    <row r="10" spans="1:9" ht="14.25" x14ac:dyDescent="0.2">
      <c r="A10" s="32">
        <v>2317</v>
      </c>
      <c r="B10" s="185" t="s">
        <v>889</v>
      </c>
      <c r="C10" s="275">
        <f t="shared" si="0"/>
        <v>6400</v>
      </c>
      <c r="D10" s="243"/>
      <c r="E10" s="244">
        <v>6400</v>
      </c>
      <c r="F10" s="253"/>
      <c r="G10" s="253"/>
      <c r="H10" s="253"/>
      <c r="I10" s="256"/>
    </row>
    <row r="11" spans="1:9" ht="14.25" x14ac:dyDescent="0.2">
      <c r="A11" s="32">
        <v>2321</v>
      </c>
      <c r="B11" s="185" t="s">
        <v>890</v>
      </c>
      <c r="C11" s="275">
        <f t="shared" si="0"/>
        <v>22300</v>
      </c>
      <c r="D11" s="244">
        <v>22300</v>
      </c>
      <c r="E11" s="243"/>
      <c r="F11" s="253"/>
      <c r="G11" s="253"/>
      <c r="H11" s="253"/>
      <c r="I11" s="256"/>
    </row>
    <row r="12" spans="1:9" x14ac:dyDescent="0.2">
      <c r="A12" s="32">
        <v>2400</v>
      </c>
      <c r="B12" t="s">
        <v>711</v>
      </c>
      <c r="C12" s="275">
        <f t="shared" si="0"/>
        <v>193031.52000000002</v>
      </c>
      <c r="D12" s="20">
        <f>'DOE25'!L206+'DOE25'!L224+'DOE25'!L242-F12-G12-H12</f>
        <v>192222.71000000002</v>
      </c>
      <c r="E12" s="243"/>
      <c r="F12" s="244"/>
      <c r="G12" s="53">
        <f>'DOE25'!J206+'DOE25'!J224+'DOE25'!J242</f>
        <v>248.81</v>
      </c>
      <c r="H12" s="53">
        <f>'DOE25'!K206+'DOE25'!K224+'DOE25'!K242</f>
        <v>560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88387.41</v>
      </c>
      <c r="D14" s="20">
        <f>'DOE25'!L208+'DOE25'!L226+'DOE25'!L244-F14-G14-H14</f>
        <v>88387.41</v>
      </c>
      <c r="E14" s="243"/>
      <c r="F14" s="244"/>
      <c r="G14" s="53">
        <f>'DOE25'!J208+'DOE25'!J226+'DOE25'!J244</f>
        <v>0</v>
      </c>
      <c r="H14" s="53">
        <f>'DOE25'!K208+'DOE25'!K226+'DOE25'!K244</f>
        <v>0</v>
      </c>
      <c r="I14" s="256"/>
    </row>
    <row r="15" spans="1:9" x14ac:dyDescent="0.2">
      <c r="A15" s="32">
        <v>2700</v>
      </c>
      <c r="B15" t="s">
        <v>799</v>
      </c>
      <c r="C15" s="275">
        <f t="shared" si="0"/>
        <v>111087.2</v>
      </c>
      <c r="D15" s="20">
        <f>'DOE25'!L209+'DOE25'!L227+'DOE25'!L245-F15-G15-H15</f>
        <v>0</v>
      </c>
      <c r="E15" s="243"/>
      <c r="F15" s="244">
        <v>111087.2</v>
      </c>
      <c r="G15" s="53">
        <f>'DOE25'!J209+'DOE25'!J227+'DOE25'!J245</f>
        <v>0</v>
      </c>
      <c r="H15" s="53">
        <f>'DOE25'!K209+'DOE25'!K227+'DOE25'!K245</f>
        <v>0</v>
      </c>
      <c r="I15" s="256"/>
    </row>
    <row r="16" spans="1:9" x14ac:dyDescent="0.2">
      <c r="A16" s="32">
        <v>2800</v>
      </c>
      <c r="B16" t="s">
        <v>800</v>
      </c>
      <c r="C16" s="275">
        <f t="shared" si="0"/>
        <v>449.25</v>
      </c>
      <c r="D16" s="243"/>
      <c r="E16" s="20">
        <f>'DOE25'!L210+'DOE25'!L228+'DOE25'!L246-F16-G16-H16</f>
        <v>449.25</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117512.5</v>
      </c>
      <c r="D25" s="243"/>
      <c r="E25" s="243"/>
      <c r="F25" s="255"/>
      <c r="G25" s="253"/>
      <c r="H25" s="253"/>
      <c r="I25" s="254">
        <f>'DOE25'!L261+'DOE25'!L262+'DOE25'!L342+'DOE25'!L343</f>
        <v>117512.5</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7861.39</v>
      </c>
      <c r="D29" s="283">
        <f>'DOE25'!L359+'DOE25'!L360+'DOE25'!L361-'DOE25'!I368-F29-G29-H29</f>
        <v>7861.39</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89374.88</v>
      </c>
      <c r="D31" s="20">
        <f>'DOE25'!L291+'DOE25'!L310+'DOE25'!L329+'DOE25'!L334+'DOE25'!L335+'DOE25'!L336-F31-G31-H31</f>
        <v>53859.039999999994</v>
      </c>
      <c r="E31" s="243"/>
      <c r="F31" s="244"/>
      <c r="G31" s="53">
        <f>'DOE25'!J291+'DOE25'!J310+'DOE25'!J329+'DOE25'!J334+'DOE25'!J335+'DOE25'!J336</f>
        <v>32576.269999999997</v>
      </c>
      <c r="H31" s="53">
        <f>'DOE25'!K291+'DOE25'!K310+'DOE25'!K329+'DOE25'!K334+'DOE25'!K335+'DOE25'!K336</f>
        <v>2939.5699999999997</v>
      </c>
      <c r="I31" s="256"/>
    </row>
    <row r="32" spans="1:9" ht="12" thickBot="1" x14ac:dyDescent="0.25">
      <c r="C32" s="276"/>
      <c r="G32" s="251"/>
      <c r="H32" s="251"/>
      <c r="I32" s="258"/>
    </row>
    <row r="33" spans="1:9" ht="12" thickTop="1" x14ac:dyDescent="0.2">
      <c r="B33" t="s">
        <v>809</v>
      </c>
      <c r="D33" s="245">
        <f t="shared" ref="D33:I33" si="1">SUM(D5:D31)</f>
        <v>1636401.4099999997</v>
      </c>
      <c r="E33" s="245">
        <f t="shared" si="1"/>
        <v>104504.25</v>
      </c>
      <c r="F33" s="245">
        <f t="shared" si="1"/>
        <v>111087.2</v>
      </c>
      <c r="G33" s="245">
        <f t="shared" si="1"/>
        <v>35162.339999999997</v>
      </c>
      <c r="H33" s="245">
        <f t="shared" si="1"/>
        <v>3747.41</v>
      </c>
      <c r="I33" s="245">
        <f t="shared" si="1"/>
        <v>117512.5</v>
      </c>
    </row>
    <row r="35" spans="1:9" ht="12" thickBot="1" x14ac:dyDescent="0.25">
      <c r="B35" s="251" t="s">
        <v>831</v>
      </c>
      <c r="D35" s="252">
        <f>E33</f>
        <v>104504.25</v>
      </c>
      <c r="E35" s="248"/>
      <c r="F35" s="335" t="s">
        <v>1632</v>
      </c>
      <c r="G35" s="336"/>
      <c r="H35" s="336"/>
      <c r="I35" s="336"/>
    </row>
    <row r="36" spans="1:9" ht="12" thickTop="1" x14ac:dyDescent="0.2">
      <c r="B36" t="s">
        <v>810</v>
      </c>
      <c r="D36" s="20">
        <f>D33</f>
        <v>1636401.4099999997</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50" sqref="I49:I5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Nelson School District</v>
      </c>
      <c r="B2" s="126">
        <f>'DOE25'!B2</f>
        <v>375</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1394635.22</v>
      </c>
      <c r="G4" s="302">
        <f>'DOE25'!L212+'DOE25'!L291</f>
        <v>1394635.22</v>
      </c>
      <c r="H4" s="355">
        <f>F4-G4</f>
        <v>0</v>
      </c>
      <c r="I4" s="372" t="str">
        <f>IF(H4=0,"","ISSUES!! Please review page 7 and 11 totals in comparison with total on this page")</f>
        <v/>
      </c>
      <c r="N4"/>
    </row>
    <row r="5" spans="1:18" x14ac:dyDescent="0.2">
      <c r="A5" s="21" t="s">
        <v>1305</v>
      </c>
      <c r="B5" s="303">
        <f>IFERROR(VLOOKUP(A5,'School Tables'!$C$3:$D$365,2,FALSE),"")</f>
        <v>21215</v>
      </c>
      <c r="C5" s="296" t="str">
        <f>IFERROR(INDEX('School Tables'!$B$3:$B$365,MATCH('School Level Expenditures'!B5,'School Tables'!$D$3:$D$365,0)),"")</f>
        <v>Nelson</v>
      </c>
      <c r="D5" s="293">
        <v>1306490.33</v>
      </c>
      <c r="E5" s="293">
        <v>88144.88999999997</v>
      </c>
      <c r="F5" s="306">
        <f>D5+E5</f>
        <v>1394635.22</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1306490.33</v>
      </c>
      <c r="E21" s="353">
        <f>SUM(E5:E20)</f>
        <v>88144.88999999997</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249007.19999999998</v>
      </c>
      <c r="G24" s="302">
        <f>'DOE25'!L230+'DOE25'!L310</f>
        <v>249007.19999999998</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v>249007.19999999998</v>
      </c>
      <c r="E25" s="293"/>
      <c r="F25" s="306">
        <f>D25+E25</f>
        <v>249007.19999999998</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249007.19999999998</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232998.8</v>
      </c>
      <c r="G36" s="302">
        <f>'DOE25'!L248+'DOE25'!L329</f>
        <v>232998.8</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232998.8</v>
      </c>
      <c r="E37" s="293"/>
      <c r="F37" s="306">
        <f t="shared" ref="F37:F42" si="2">D37+E37</f>
        <v>232998.8</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232998.8</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Nelson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66244.19</v>
      </c>
      <c r="D8" s="95">
        <f>'DOE25'!G9</f>
        <v>0</v>
      </c>
      <c r="E8" s="95">
        <f>'DOE25'!H9</f>
        <v>17150.810000000001</v>
      </c>
      <c r="F8" s="95">
        <f>'DOE25'!I9</f>
        <v>0</v>
      </c>
      <c r="G8" s="95">
        <f>'DOE25'!J9</f>
        <v>0</v>
      </c>
      <c r="H8" s="124"/>
      <c r="I8" s="124"/>
    </row>
    <row r="9" spans="1:9" x14ac:dyDescent="0.2">
      <c r="A9" s="1" t="s">
        <v>140</v>
      </c>
      <c r="B9" s="6">
        <v>110</v>
      </c>
      <c r="C9" s="95">
        <f>'DOE25'!F10</f>
        <v>129995.64</v>
      </c>
      <c r="D9" s="95">
        <f>'DOE25'!G10</f>
        <v>0</v>
      </c>
      <c r="E9" s="95">
        <f>'DOE25'!H10</f>
        <v>0</v>
      </c>
      <c r="F9" s="95">
        <f>'DOE25'!I10</f>
        <v>0</v>
      </c>
      <c r="G9" s="95">
        <f>'DOE25'!J10</f>
        <v>315572.3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13667.16</v>
      </c>
      <c r="D11" s="95">
        <f>'DOE25'!G12</f>
        <v>200.6</v>
      </c>
      <c r="E11" s="95">
        <f>'DOE25'!H12</f>
        <v>0</v>
      </c>
      <c r="F11" s="95">
        <f>'DOE25'!I12</f>
        <v>0</v>
      </c>
      <c r="G11" s="95">
        <f>'DOE25'!J12</f>
        <v>0</v>
      </c>
      <c r="H11" s="124"/>
      <c r="I11" s="124"/>
    </row>
    <row r="12" spans="1:9" x14ac:dyDescent="0.2">
      <c r="A12" s="1" t="s">
        <v>143</v>
      </c>
      <c r="B12" s="6">
        <v>140</v>
      </c>
      <c r="C12" s="95">
        <f>'DOE25'!F13</f>
        <v>55.6</v>
      </c>
      <c r="D12" s="95">
        <f>'DOE25'!G13</f>
        <v>0</v>
      </c>
      <c r="E12" s="95">
        <f>'DOE25'!H13</f>
        <v>38845.040000000001</v>
      </c>
      <c r="F12" s="95">
        <f>'DOE25'!I13</f>
        <v>0</v>
      </c>
      <c r="G12" s="95">
        <f>'DOE25'!J13</f>
        <v>0</v>
      </c>
      <c r="H12" s="124"/>
      <c r="I12" s="124"/>
    </row>
    <row r="13" spans="1:9" x14ac:dyDescent="0.2">
      <c r="A13" s="1" t="s">
        <v>144</v>
      </c>
      <c r="B13" s="6">
        <v>150</v>
      </c>
      <c r="C13" s="95">
        <f>'DOE25'!F14</f>
        <v>35.76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500</v>
      </c>
      <c r="D16" s="95">
        <f>'DOE25'!G17</f>
        <v>0</v>
      </c>
      <c r="E16" s="95">
        <f>'DOE25'!H17</f>
        <v>1918.12</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210498.35000000003</v>
      </c>
      <c r="D18" s="41">
        <f>SUM(D8:D17)</f>
        <v>200.6</v>
      </c>
      <c r="E18" s="41">
        <f>SUM(E8:E17)</f>
        <v>57913.970000000008</v>
      </c>
      <c r="F18" s="41">
        <f>SUM(F8:F17)</f>
        <v>0</v>
      </c>
      <c r="G18" s="41">
        <f>SUM(G8:G17)</f>
        <v>315572.3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200.6</v>
      </c>
      <c r="D21" s="95">
        <f>'DOE25'!G22</f>
        <v>0</v>
      </c>
      <c r="E21" s="95">
        <f>'DOE25'!H22</f>
        <v>13667.16</v>
      </c>
      <c r="F21" s="95">
        <f>'DOE25'!I22</f>
        <v>0</v>
      </c>
      <c r="G21" s="95">
        <f>'DOE25'!J22</f>
        <v>0</v>
      </c>
      <c r="H21" s="124"/>
      <c r="I21" s="124"/>
    </row>
    <row r="22" spans="1:9" x14ac:dyDescent="0.2">
      <c r="A22" s="1" t="s">
        <v>151</v>
      </c>
      <c r="B22" s="6">
        <v>410</v>
      </c>
      <c r="C22" s="95">
        <f>'DOE25'!F23</f>
        <v>49.4</v>
      </c>
      <c r="D22" s="95">
        <f>'DOE25'!G23</f>
        <v>0</v>
      </c>
      <c r="E22" s="95">
        <f>'DOE25'!H23</f>
        <v>745.36</v>
      </c>
      <c r="F22" s="95">
        <f>'DOE25'!I23</f>
        <v>0</v>
      </c>
      <c r="G22" s="95">
        <f>'DOE25'!J23</f>
        <v>0</v>
      </c>
      <c r="H22" s="124"/>
      <c r="I22" s="124"/>
    </row>
    <row r="23" spans="1:9" x14ac:dyDescent="0.2">
      <c r="A23" s="1" t="s">
        <v>152</v>
      </c>
      <c r="B23" s="6">
        <v>420</v>
      </c>
      <c r="C23" s="95">
        <f>'DOE25'!F24</f>
        <v>10718.63</v>
      </c>
      <c r="D23" s="95">
        <f>'DOE25'!G24</f>
        <v>0</v>
      </c>
      <c r="E23" s="95">
        <f>'DOE25'!H24</f>
        <v>26893.600000000002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6123.74</v>
      </c>
      <c r="D27" s="95">
        <f>'DOE25'!G28</f>
        <v>200.6</v>
      </c>
      <c r="E27" s="95">
        <f>'DOE25'!H28</f>
        <v>208.03</v>
      </c>
      <c r="F27" s="95">
        <f>'DOE25'!I28</f>
        <v>0</v>
      </c>
      <c r="G27" s="24" t="s">
        <v>288</v>
      </c>
      <c r="H27" s="124"/>
      <c r="I27" s="124"/>
    </row>
    <row r="28" spans="1:9" x14ac:dyDescent="0.2">
      <c r="A28" s="1" t="s">
        <v>157</v>
      </c>
      <c r="B28" s="6">
        <v>470</v>
      </c>
      <c r="C28" s="95">
        <f>'DOE25'!F29</f>
        <v>16473.46</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33565.83</v>
      </c>
      <c r="D31" s="41">
        <f>SUM(D21:D30)</f>
        <v>200.6</v>
      </c>
      <c r="E31" s="41">
        <f>SUM(E21:E30)</f>
        <v>41514.15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500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662.21</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11709.060000000001</v>
      </c>
      <c r="F47" s="95">
        <f>'DOE25'!I48</f>
        <v>0</v>
      </c>
      <c r="G47" s="95">
        <f>'DOE25'!J48</f>
        <v>315572.3</v>
      </c>
      <c r="H47" s="124"/>
      <c r="I47" s="124"/>
    </row>
    <row r="48" spans="1:9" x14ac:dyDescent="0.2">
      <c r="A48" s="1" t="s">
        <v>882</v>
      </c>
      <c r="B48" s="6">
        <v>753</v>
      </c>
      <c r="C48" s="95">
        <f>'DOE25'!F49</f>
        <v>3001.76</v>
      </c>
      <c r="D48" s="95">
        <f>'DOE25'!G49</f>
        <v>0</v>
      </c>
      <c r="E48" s="95">
        <f>'DOE25'!H49</f>
        <v>4028.55</v>
      </c>
      <c r="F48" s="95">
        <f>'DOE25'!I49</f>
        <v>0</v>
      </c>
      <c r="G48" s="95">
        <f>'DOE25'!J49</f>
        <v>0</v>
      </c>
      <c r="H48" s="124"/>
      <c r="I48" s="124"/>
    </row>
    <row r="49" spans="1:9" ht="12" thickBot="1" x14ac:dyDescent="0.25">
      <c r="A49" s="29" t="s">
        <v>883</v>
      </c>
      <c r="B49" s="71">
        <v>770</v>
      </c>
      <c r="C49" s="95">
        <f>'DOE25'!F50</f>
        <v>143430.76</v>
      </c>
      <c r="D49" s="24" t="s">
        <v>288</v>
      </c>
      <c r="E49" s="24" t="s">
        <v>288</v>
      </c>
      <c r="F49" s="24" t="s">
        <v>288</v>
      </c>
      <c r="G49" s="24" t="s">
        <v>288</v>
      </c>
      <c r="H49" s="124"/>
      <c r="I49" s="124"/>
    </row>
    <row r="50" spans="1:9" ht="12.75" thickTop="1" thickBot="1" x14ac:dyDescent="0.25">
      <c r="A50" s="38" t="s">
        <v>884</v>
      </c>
      <c r="B50" s="48"/>
      <c r="C50" s="41">
        <f>SUM(C34:C49)</f>
        <v>176932.52000000002</v>
      </c>
      <c r="D50" s="41">
        <f>SUM(D34:D49)</f>
        <v>0</v>
      </c>
      <c r="E50" s="41">
        <f>SUM(E34:E49)</f>
        <v>16399.82</v>
      </c>
      <c r="F50" s="41">
        <f>SUM(F34:F49)</f>
        <v>0</v>
      </c>
      <c r="G50" s="41">
        <f>SUM(G34:G49)</f>
        <v>315572.3</v>
      </c>
      <c r="H50" s="124"/>
      <c r="I50" s="124"/>
    </row>
    <row r="51" spans="1:9" ht="12" thickTop="1" x14ac:dyDescent="0.2">
      <c r="A51" s="38" t="s">
        <v>885</v>
      </c>
      <c r="B51" s="2"/>
      <c r="C51" s="41">
        <f>C50+C31</f>
        <v>210498.35000000003</v>
      </c>
      <c r="D51" s="41">
        <f>D50+D31</f>
        <v>200.6</v>
      </c>
      <c r="E51" s="41">
        <f>E50+E31</f>
        <v>57913.97</v>
      </c>
      <c r="F51" s="41">
        <f>F50+F31</f>
        <v>0</v>
      </c>
      <c r="G51" s="41">
        <f>G50+G31</f>
        <v>315572.3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856216</v>
      </c>
      <c r="D56" s="95">
        <f>'DOE25'!G60</f>
        <v>0</v>
      </c>
      <c r="E56" s="95">
        <f>'DOE25'!H60</f>
        <v>0</v>
      </c>
      <c r="F56" s="95">
        <f>'DOE25'!I60</f>
        <v>0</v>
      </c>
      <c r="G56" s="95">
        <f>'DOE25'!J60</f>
        <v>0</v>
      </c>
      <c r="H56"/>
      <c r="I56"/>
    </row>
    <row r="57" spans="1:9" x14ac:dyDescent="0.2">
      <c r="A57" s="1" t="s">
        <v>164</v>
      </c>
      <c r="B57" s="6" t="s">
        <v>165</v>
      </c>
      <c r="C57" s="95">
        <f>'DOE25'!F79</f>
        <v>602732.82000000007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652.35</v>
      </c>
      <c r="D59" s="95">
        <f>'DOE25'!G96</f>
        <v>0</v>
      </c>
      <c r="E59" s="95">
        <f>'DOE25'!H96</f>
        <v>0</v>
      </c>
      <c r="F59" s="95">
        <f>'DOE25'!I96</f>
        <v>0</v>
      </c>
      <c r="G59" s="95">
        <f>'DOE25'!J96</f>
        <v>188.39</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8899.75</v>
      </c>
      <c r="D61" s="95">
        <f>SUM('DOE25'!G98:G110)</f>
        <v>0</v>
      </c>
      <c r="E61" s="95">
        <f>SUM('DOE25'!H98:H110)</f>
        <v>1297</v>
      </c>
      <c r="F61" s="95">
        <f>SUM('DOE25'!I98:I110)</f>
        <v>0</v>
      </c>
      <c r="G61" s="95">
        <f>SUM('DOE25'!J98:J110)</f>
        <v>0</v>
      </c>
      <c r="H61"/>
      <c r="I61"/>
    </row>
    <row r="62" spans="1:9" ht="12.75" thickTop="1" thickBot="1" x14ac:dyDescent="0.25">
      <c r="A62" s="29" t="s">
        <v>174</v>
      </c>
      <c r="B62" s="6"/>
      <c r="C62" s="130">
        <f>SUM(C57:C61)</f>
        <v>612284.92000000004</v>
      </c>
      <c r="D62" s="130">
        <f>SUM(D57:D61)</f>
        <v>0</v>
      </c>
      <c r="E62" s="130">
        <f>SUM(E57:E61)</f>
        <v>1297</v>
      </c>
      <c r="F62" s="130">
        <f>SUM(F57:F61)</f>
        <v>0</v>
      </c>
      <c r="G62" s="130">
        <f>SUM(G57:G61)</f>
        <v>188.39</v>
      </c>
      <c r="H62"/>
      <c r="I62"/>
    </row>
    <row r="63" spans="1:9" ht="12" thickTop="1" x14ac:dyDescent="0.2">
      <c r="A63" s="29" t="s">
        <v>175</v>
      </c>
      <c r="B63" s="6"/>
      <c r="C63" s="22">
        <f>C56+C62</f>
        <v>1468500.92</v>
      </c>
      <c r="D63" s="22">
        <f>D56+D62</f>
        <v>0</v>
      </c>
      <c r="E63" s="22">
        <f>E56+E62</f>
        <v>1297</v>
      </c>
      <c r="F63" s="22">
        <f>F56+F62</f>
        <v>0</v>
      </c>
      <c r="G63" s="22">
        <f>G56+G62</f>
        <v>188.39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160937.26</v>
      </c>
      <c r="D66" s="24" t="s">
        <v>288</v>
      </c>
      <c r="E66" s="24" t="s">
        <v>288</v>
      </c>
      <c r="F66" s="24" t="s">
        <v>288</v>
      </c>
      <c r="G66" s="24" t="s">
        <v>288</v>
      </c>
      <c r="H66"/>
      <c r="I66"/>
    </row>
    <row r="67" spans="1:9" x14ac:dyDescent="0.2">
      <c r="A67" s="1" t="s">
        <v>770</v>
      </c>
      <c r="B67" s="6">
        <v>3112</v>
      </c>
      <c r="C67" s="95">
        <f>'DOE25'!F118</f>
        <v>241832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402769.26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402769.26</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22613.4</v>
      </c>
      <c r="F87" s="95">
        <f>SUM('DOE25'!I149:I152)</f>
        <v>0</v>
      </c>
      <c r="G87" s="24" t="s">
        <v>288</v>
      </c>
    </row>
    <row r="88" spans="1:9" x14ac:dyDescent="0.2">
      <c r="A88" s="290" t="s">
        <v>747</v>
      </c>
      <c r="B88" s="332" t="s">
        <v>184</v>
      </c>
      <c r="C88" s="333">
        <f>SUM('DOE25'!F153:F162)</f>
        <v>349.36</v>
      </c>
      <c r="D88" s="333">
        <f>SUM('DOE25'!G153:G162)</f>
        <v>0</v>
      </c>
      <c r="E88" s="333">
        <f>SUM('DOE25'!H153:H162)</f>
        <v>65531.49</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349.36</v>
      </c>
      <c r="D91" s="131">
        <f>SUM(D85:D90)</f>
        <v>0</v>
      </c>
      <c r="E91" s="131">
        <f>SUM(E85:E90)</f>
        <v>88144.89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7861.39</v>
      </c>
      <c r="E96" s="95">
        <f>'DOE25'!H180</f>
        <v>0</v>
      </c>
      <c r="F96" s="95">
        <f>'DOE25'!I180</f>
        <v>0</v>
      </c>
      <c r="G96" s="95">
        <f>'DOE25'!J180</f>
        <v>30000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7861.39</v>
      </c>
      <c r="E103" s="86">
        <f>SUM(E93:E102)</f>
        <v>0</v>
      </c>
      <c r="F103" s="86">
        <f>SUM(F93:F102)</f>
        <v>0</v>
      </c>
      <c r="G103" s="86">
        <f>SUM(G93:G102)</f>
        <v>30000</v>
      </c>
    </row>
    <row r="104" spans="1:7" ht="12.75" thickTop="1" thickBot="1" x14ac:dyDescent="0.25">
      <c r="A104" s="33" t="s">
        <v>761</v>
      </c>
      <c r="C104" s="86">
        <f>C63+C81+C91+C103</f>
        <v>1871619.54</v>
      </c>
      <c r="D104" s="86">
        <f>D63+D81+D91+D103</f>
        <v>7861.39</v>
      </c>
      <c r="E104" s="86">
        <f>E63+E81+E91+E103</f>
        <v>89441.89</v>
      </c>
      <c r="F104" s="86">
        <f>F63+F81+F91+F103</f>
        <v>0</v>
      </c>
      <c r="G104" s="86">
        <f>G63+G81+G103</f>
        <v>30188.39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933521.72</v>
      </c>
      <c r="D109" s="24" t="s">
        <v>288</v>
      </c>
      <c r="E109" s="95">
        <f>('DOE25'!L277)+('DOE25'!L296)+('DOE25'!L315)</f>
        <v>45160.61</v>
      </c>
      <c r="F109" s="24" t="s">
        <v>288</v>
      </c>
      <c r="G109" s="24" t="s">
        <v>288</v>
      </c>
    </row>
    <row r="110" spans="1:7" x14ac:dyDescent="0.2">
      <c r="A110" t="s">
        <v>198</v>
      </c>
      <c r="B110" s="32" t="s">
        <v>199</v>
      </c>
      <c r="C110" s="95">
        <f>('DOE25'!L199)+('DOE25'!L217)+('DOE25'!L235)</f>
        <v>271606.54000000004</v>
      </c>
      <c r="D110" s="24" t="s">
        <v>288</v>
      </c>
      <c r="E110" s="95">
        <f>('DOE25'!L278)+('DOE25'!L297)+('DOE25'!L316)</f>
        <v>15148.5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2265.4699999999998</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1207393.73</v>
      </c>
      <c r="D115" s="86">
        <f>SUM(D109:D114)</f>
        <v>0</v>
      </c>
      <c r="E115" s="86">
        <f>SUM(E109:E114)</f>
        <v>60309.11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53407.21</v>
      </c>
      <c r="D118" s="24" t="s">
        <v>288</v>
      </c>
      <c r="E118" s="95">
        <f>+('DOE25'!L282)+('DOE25'!L301)+('DOE25'!L320)</f>
        <v>0</v>
      </c>
      <c r="F118" s="24" t="s">
        <v>288</v>
      </c>
      <c r="G118" s="24" t="s">
        <v>288</v>
      </c>
    </row>
    <row r="119" spans="1:7" x14ac:dyDescent="0.2">
      <c r="A119" t="s">
        <v>208</v>
      </c>
      <c r="B119" s="32" t="s">
        <v>209</v>
      </c>
      <c r="C119" s="95">
        <f>('DOE25'!L204)+('DOE25'!L222)+('DOE25'!L240)</f>
        <v>9071.9699999999993</v>
      </c>
      <c r="D119" s="24" t="s">
        <v>288</v>
      </c>
      <c r="E119" s="95">
        <f>+('DOE25'!L283)+('DOE25'!L302)+('DOE25'!L321)</f>
        <v>4984.8999999999996</v>
      </c>
      <c r="F119" s="24" t="s">
        <v>288</v>
      </c>
      <c r="G119" s="24" t="s">
        <v>288</v>
      </c>
    </row>
    <row r="120" spans="1:7" x14ac:dyDescent="0.2">
      <c r="A120" t="s">
        <v>210</v>
      </c>
      <c r="B120" s="32" t="s">
        <v>211</v>
      </c>
      <c r="C120" s="95">
        <f>('DOE25'!L205)+('DOE25'!L223)+('DOE25'!L241)</f>
        <v>124438.05</v>
      </c>
      <c r="D120" s="24" t="s">
        <v>288</v>
      </c>
      <c r="E120" s="95">
        <f>+('DOE25'!L284)+('DOE25'!L303)+('DOE25'!L322)</f>
        <v>2702.3199999999997</v>
      </c>
      <c r="F120" s="24" t="s">
        <v>288</v>
      </c>
      <c r="G120" s="24" t="s">
        <v>288</v>
      </c>
    </row>
    <row r="121" spans="1:7" x14ac:dyDescent="0.2">
      <c r="A121" t="s">
        <v>212</v>
      </c>
      <c r="B121" s="32" t="s">
        <v>213</v>
      </c>
      <c r="C121" s="95">
        <f>('DOE25'!L206)+('DOE25'!L224)+('DOE25'!L242)</f>
        <v>193031.52000000002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2939.5699999999997</v>
      </c>
      <c r="F122" s="24" t="s">
        <v>288</v>
      </c>
      <c r="G122" s="24" t="s">
        <v>288</v>
      </c>
    </row>
    <row r="123" spans="1:7" x14ac:dyDescent="0.2">
      <c r="A123" t="s">
        <v>216</v>
      </c>
      <c r="B123" s="32" t="s">
        <v>217</v>
      </c>
      <c r="C123" s="95">
        <f>('DOE25'!L208)+('DOE25'!L226)+('DOE25'!L244)</f>
        <v>88387.41</v>
      </c>
      <c r="D123" s="24" t="s">
        <v>288</v>
      </c>
      <c r="E123" s="95">
        <f>+('DOE25'!L287)+('DOE25'!L306)+('DOE25'!L325)</f>
        <v>18438.98</v>
      </c>
      <c r="F123" s="24" t="s">
        <v>288</v>
      </c>
      <c r="G123" s="24" t="s">
        <v>288</v>
      </c>
    </row>
    <row r="124" spans="1:7" x14ac:dyDescent="0.2">
      <c r="A124" t="s">
        <v>218</v>
      </c>
      <c r="B124" s="32" t="s">
        <v>219</v>
      </c>
      <c r="C124" s="95">
        <f>('DOE25'!L209)+('DOE25'!L227)+('DOE25'!L245+'DOE25'!L255)</f>
        <v>111087.2</v>
      </c>
      <c r="D124" s="24" t="s">
        <v>288</v>
      </c>
      <c r="E124" s="95">
        <f>+('DOE25'!L288)+('DOE25'!L307)+('DOE25'!L326)</f>
        <v>0</v>
      </c>
      <c r="F124" s="24" t="s">
        <v>288</v>
      </c>
      <c r="G124" s="24" t="s">
        <v>288</v>
      </c>
    </row>
    <row r="125" spans="1:7" x14ac:dyDescent="0.2">
      <c r="A125" t="s">
        <v>220</v>
      </c>
      <c r="B125" s="32" t="s">
        <v>221</v>
      </c>
      <c r="C125" s="95">
        <f>('DOE25'!L210)+('DOE25'!L228)+('DOE25'!L246)</f>
        <v>449.25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7861.39</v>
      </c>
      <c r="E127" s="24" t="s">
        <v>288</v>
      </c>
      <c r="F127" s="24" t="s">
        <v>288</v>
      </c>
      <c r="G127" s="24" t="s">
        <v>288</v>
      </c>
    </row>
    <row r="128" spans="1:7" ht="12.75" thickTop="1" thickBot="1" x14ac:dyDescent="0.25">
      <c r="A128" s="33" t="s">
        <v>226</v>
      </c>
      <c r="C128" s="86">
        <f>SUM(C118:C127)</f>
        <v>579872.61</v>
      </c>
      <c r="D128" s="86">
        <f>SUM(D118:D127)</f>
        <v>7861.39</v>
      </c>
      <c r="E128" s="86">
        <f>SUM(E118:E127)</f>
        <v>29065.769999999997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85000</v>
      </c>
      <c r="D131" s="24" t="s">
        <v>288</v>
      </c>
      <c r="E131" s="129">
        <f>'DOE25'!L342</f>
        <v>0</v>
      </c>
      <c r="F131" s="24" t="s">
        <v>288</v>
      </c>
      <c r="G131" s="24" t="s">
        <v>288</v>
      </c>
    </row>
    <row r="132" spans="1:7" x14ac:dyDescent="0.2">
      <c r="A132" t="s">
        <v>230</v>
      </c>
      <c r="B132" s="32">
        <v>5120</v>
      </c>
      <c r="C132" s="95">
        <f>'DOE25'!L262</f>
        <v>32512.5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7861.39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30188.39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-188.38999999999942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155373.89000000001</v>
      </c>
      <c r="D144" s="141">
        <f>SUM(D130:D143)</f>
        <v>0</v>
      </c>
      <c r="E144" s="141">
        <f>SUM(E130:E143)</f>
        <v>0</v>
      </c>
      <c r="F144" s="141">
        <f>SUM(F130:F143)</f>
        <v>0</v>
      </c>
      <c r="G144" s="141">
        <f>SUM(G130:G143)</f>
        <v>0</v>
      </c>
    </row>
    <row r="145" spans="1:9" ht="12.75" thickTop="1" thickBot="1" x14ac:dyDescent="0.25">
      <c r="A145" s="33" t="s">
        <v>244</v>
      </c>
      <c r="C145" s="86">
        <f>(C115+C128+C144)</f>
        <v>1942640.23</v>
      </c>
      <c r="D145" s="86">
        <f>(D115+D128+D144)</f>
        <v>7861.39</v>
      </c>
      <c r="E145" s="86">
        <f>(E115+E128+E144)</f>
        <v>89374.88</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08/15/17</v>
      </c>
      <c r="C152" s="152">
        <f>'DOE25'!G492</f>
        <v>0</v>
      </c>
      <c r="D152" s="152">
        <f>'DOE25'!H492</f>
        <v>0</v>
      </c>
      <c r="E152" s="152">
        <f>'DOE25'!I492</f>
        <v>0</v>
      </c>
      <c r="F152" s="152">
        <f>'DOE25'!J492</f>
        <v>0</v>
      </c>
      <c r="G152" s="24" t="s">
        <v>288</v>
      </c>
    </row>
    <row r="153" spans="1:9" x14ac:dyDescent="0.2">
      <c r="A153" s="136" t="s">
        <v>29</v>
      </c>
      <c r="B153" s="152" t="str">
        <f>'DOE25'!F493</f>
        <v>08/15/27</v>
      </c>
      <c r="C153" s="152">
        <f>'DOE25'!G493</f>
        <v>0</v>
      </c>
      <c r="D153" s="152">
        <f>'DOE25'!H493</f>
        <v>0</v>
      </c>
      <c r="E153" s="152">
        <f>'DOE25'!I493</f>
        <v>0</v>
      </c>
      <c r="F153" s="152">
        <f>'DOE25'!J493</f>
        <v>0</v>
      </c>
      <c r="G153" s="24" t="s">
        <v>288</v>
      </c>
    </row>
    <row r="154" spans="1:9" x14ac:dyDescent="0.2">
      <c r="A154" s="136" t="s">
        <v>30</v>
      </c>
      <c r="B154" s="137">
        <f>'DOE25'!F494</f>
        <v>851300</v>
      </c>
      <c r="C154" s="137">
        <f>'DOE25'!G494</f>
        <v>0</v>
      </c>
      <c r="D154" s="137">
        <f>'DOE25'!H494</f>
        <v>0</v>
      </c>
      <c r="E154" s="137">
        <f>'DOE25'!I494</f>
        <v>0</v>
      </c>
      <c r="F154" s="137">
        <f>'DOE25'!J494</f>
        <v>0</v>
      </c>
      <c r="G154" s="24" t="s">
        <v>288</v>
      </c>
    </row>
    <row r="155" spans="1:9" x14ac:dyDescent="0.2">
      <c r="A155" s="136" t="s">
        <v>31</v>
      </c>
      <c r="B155" s="137">
        <f>'DOE25'!F495</f>
        <v>1.76</v>
      </c>
      <c r="C155" s="137">
        <f>'DOE25'!G495</f>
        <v>0</v>
      </c>
      <c r="D155" s="137">
        <f>'DOE25'!H495</f>
        <v>0</v>
      </c>
      <c r="E155" s="137">
        <f>'DOE25'!I495</f>
        <v>0</v>
      </c>
      <c r="F155" s="137">
        <f>'DOE25'!J495</f>
        <v>0</v>
      </c>
      <c r="G155" s="24" t="s">
        <v>288</v>
      </c>
    </row>
    <row r="156" spans="1:9" x14ac:dyDescent="0.2">
      <c r="A156" s="22" t="s">
        <v>32</v>
      </c>
      <c r="B156" s="137">
        <f>'DOE25'!F496</f>
        <v>680000</v>
      </c>
      <c r="C156" s="137">
        <f>'DOE25'!G496</f>
        <v>0</v>
      </c>
      <c r="D156" s="137">
        <f>'DOE25'!H496</f>
        <v>0</v>
      </c>
      <c r="E156" s="137">
        <f>'DOE25'!I496</f>
        <v>0</v>
      </c>
      <c r="F156" s="137">
        <f>'DOE25'!J496</f>
        <v>0</v>
      </c>
      <c r="G156" s="138">
        <f>SUM(B156:F156)</f>
        <v>680000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117512.5</v>
      </c>
      <c r="C158" s="137">
        <f>'DOE25'!G498</f>
        <v>0</v>
      </c>
      <c r="D158" s="137">
        <f>'DOE25'!H498</f>
        <v>0</v>
      </c>
      <c r="E158" s="137">
        <f>'DOE25'!I498</f>
        <v>0</v>
      </c>
      <c r="F158" s="137">
        <f>'DOE25'!J498</f>
        <v>0</v>
      </c>
      <c r="G158" s="138">
        <f t="shared" si="0"/>
        <v>117512.5</v>
      </c>
    </row>
    <row r="159" spans="1:9" x14ac:dyDescent="0.2">
      <c r="A159" s="22" t="s">
        <v>35</v>
      </c>
      <c r="B159" s="137">
        <f>'DOE25'!F499</f>
        <v>595000</v>
      </c>
      <c r="C159" s="137">
        <f>'DOE25'!G499</f>
        <v>0</v>
      </c>
      <c r="D159" s="137">
        <f>'DOE25'!H499</f>
        <v>0</v>
      </c>
      <c r="E159" s="137">
        <f>'DOE25'!I499</f>
        <v>0</v>
      </c>
      <c r="F159" s="137">
        <f>'DOE25'!J499</f>
        <v>0</v>
      </c>
      <c r="G159" s="138">
        <f t="shared" si="0"/>
        <v>595000</v>
      </c>
    </row>
    <row r="160" spans="1:9" x14ac:dyDescent="0.2">
      <c r="A160" s="22" t="s">
        <v>36</v>
      </c>
      <c r="B160" s="137">
        <f>'DOE25'!F500</f>
        <v>106207.5</v>
      </c>
      <c r="C160" s="137">
        <f>'DOE25'!G500</f>
        <v>0</v>
      </c>
      <c r="D160" s="137">
        <f>'DOE25'!H500</f>
        <v>0</v>
      </c>
      <c r="E160" s="137">
        <f>'DOE25'!I500</f>
        <v>0</v>
      </c>
      <c r="F160" s="137">
        <f>'DOE25'!J500</f>
        <v>0</v>
      </c>
      <c r="G160" s="138">
        <f t="shared" si="0"/>
        <v>106207.5</v>
      </c>
    </row>
    <row r="161" spans="1:7" x14ac:dyDescent="0.2">
      <c r="A161" s="22" t="s">
        <v>37</v>
      </c>
      <c r="B161" s="137">
        <f>'DOE25'!F501</f>
        <v>701207.5</v>
      </c>
      <c r="C161" s="137">
        <f>'DOE25'!G501</f>
        <v>0</v>
      </c>
      <c r="D161" s="137">
        <f>'DOE25'!H501</f>
        <v>0</v>
      </c>
      <c r="E161" s="137">
        <f>'DOE25'!I501</f>
        <v>0</v>
      </c>
      <c r="F161" s="137">
        <f>'DOE25'!J501</f>
        <v>0</v>
      </c>
      <c r="G161" s="138">
        <f t="shared" si="0"/>
        <v>701207.5</v>
      </c>
    </row>
    <row r="162" spans="1:7" x14ac:dyDescent="0.2">
      <c r="A162" s="22" t="s">
        <v>38</v>
      </c>
      <c r="B162" s="137">
        <f>'DOE25'!F502</f>
        <v>85000</v>
      </c>
      <c r="C162" s="137">
        <f>'DOE25'!G502</f>
        <v>0</v>
      </c>
      <c r="D162" s="137">
        <f>'DOE25'!H502</f>
        <v>0</v>
      </c>
      <c r="E162" s="137">
        <f>'DOE25'!I502</f>
        <v>0</v>
      </c>
      <c r="F162" s="137">
        <f>'DOE25'!J502</f>
        <v>0</v>
      </c>
      <c r="G162" s="138">
        <f t="shared" si="0"/>
        <v>85000</v>
      </c>
    </row>
    <row r="163" spans="1:7" x14ac:dyDescent="0.2">
      <c r="A163" s="22" t="s">
        <v>39</v>
      </c>
      <c r="B163" s="137">
        <f>'DOE25'!F503</f>
        <v>28177.5</v>
      </c>
      <c r="C163" s="137">
        <f>'DOE25'!G503</f>
        <v>0</v>
      </c>
      <c r="D163" s="137">
        <f>'DOE25'!H503</f>
        <v>0</v>
      </c>
      <c r="E163" s="137">
        <f>'DOE25'!I503</f>
        <v>0</v>
      </c>
      <c r="F163" s="137">
        <f>'DOE25'!J503</f>
        <v>0</v>
      </c>
      <c r="G163" s="138">
        <f t="shared" si="0"/>
        <v>28177.5</v>
      </c>
    </row>
    <row r="164" spans="1:7" x14ac:dyDescent="0.2">
      <c r="A164" s="22" t="s">
        <v>246</v>
      </c>
      <c r="B164" s="137">
        <f>'DOE25'!F504</f>
        <v>113177.5</v>
      </c>
      <c r="C164" s="137">
        <f>'DOE25'!G504</f>
        <v>0</v>
      </c>
      <c r="D164" s="137">
        <f>'DOE25'!H504</f>
        <v>0</v>
      </c>
      <c r="E164" s="137">
        <f>'DOE25'!I504</f>
        <v>0</v>
      </c>
      <c r="F164" s="137">
        <f>'DOE25'!J504</f>
        <v>0</v>
      </c>
      <c r="G164" s="138">
        <f t="shared" si="0"/>
        <v>113177.5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Nelson School District</v>
      </c>
    </row>
    <row r="3" spans="1:4" x14ac:dyDescent="0.2">
      <c r="B3" s="188" t="s">
        <v>1666</v>
      </c>
    </row>
    <row r="4" spans="1:4" x14ac:dyDescent="0.2">
      <c r="B4" t="s">
        <v>61</v>
      </c>
      <c r="C4" s="179">
        <f>IF('DOE25'!F666+'DOE25'!F671=0,0,ROUND('DOE25'!F673,0))</f>
        <v>21176</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21176</v>
      </c>
    </row>
    <row r="9" spans="1:4" x14ac:dyDescent="0.2">
      <c r="A9" s="187" t="s">
        <v>94</v>
      </c>
      <c r="B9" s="188" t="s">
        <v>1671</v>
      </c>
      <c r="C9" s="181" t="s">
        <v>720</v>
      </c>
      <c r="D9" s="181" t="s">
        <v>721</v>
      </c>
    </row>
    <row r="10" spans="1:4" x14ac:dyDescent="0.2">
      <c r="A10">
        <v>1100</v>
      </c>
      <c r="B10" t="s">
        <v>702</v>
      </c>
      <c r="C10" s="179">
        <f>ROUND('DOE25'!L198+'DOE25'!L216+'DOE25'!L234+'DOE25'!L277+'DOE25'!L296+'DOE25'!L315,0)</f>
        <v>978682</v>
      </c>
      <c r="D10" s="182">
        <f>ROUND((C10/$C$28)*100,1)</f>
        <v>51.1</v>
      </c>
    </row>
    <row r="11" spans="1:4" x14ac:dyDescent="0.2">
      <c r="A11">
        <v>1200</v>
      </c>
      <c r="B11" t="s">
        <v>703</v>
      </c>
      <c r="C11" s="179">
        <f>ROUND('DOE25'!L199+'DOE25'!L217+'DOE25'!L235+'DOE25'!L278+'DOE25'!L297+'DOE25'!L316,0)</f>
        <v>286755</v>
      </c>
      <c r="D11" s="182">
        <f>ROUND((C11/$C$28)*100,1)</f>
        <v>15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2265</v>
      </c>
      <c r="D13" s="182">
        <f>ROUND((C13/$C$28)*100,1)</f>
        <v>0.1</v>
      </c>
    </row>
    <row r="14" spans="1:4" x14ac:dyDescent="0.2">
      <c r="D14" s="182"/>
    </row>
    <row r="15" spans="1:4" x14ac:dyDescent="0.2">
      <c r="A15">
        <v>2100</v>
      </c>
      <c r="B15" t="s">
        <v>706</v>
      </c>
      <c r="C15" s="179">
        <f>ROUND('DOE25'!L203+'DOE25'!L221+'DOE25'!L239+'DOE25'!L282+'DOE25'!L301+'DOE25'!L320,0)</f>
        <v>53407</v>
      </c>
      <c r="D15" s="182">
        <f t="shared" ref="D15:D27" si="0">ROUND((C15/$C$28)*100,1)</f>
        <v>2.8</v>
      </c>
    </row>
    <row r="16" spans="1:4" x14ac:dyDescent="0.2">
      <c r="A16">
        <v>2200</v>
      </c>
      <c r="B16" t="s">
        <v>707</v>
      </c>
      <c r="C16" s="179">
        <f>ROUND('DOE25'!L204+'DOE25'!L222+'DOE25'!L240+'DOE25'!L283+'DOE25'!L302+'DOE25'!L321,0)</f>
        <v>14057</v>
      </c>
      <c r="D16" s="182">
        <f t="shared" si="0"/>
        <v>0.7</v>
      </c>
    </row>
    <row r="17" spans="1:4" x14ac:dyDescent="0.2">
      <c r="A17" s="183" t="s">
        <v>723</v>
      </c>
      <c r="B17" t="s">
        <v>738</v>
      </c>
      <c r="C17" s="179">
        <f>ROUND('DOE25'!L205+'DOE25'!L210+'DOE25'!L223+'DOE25'!L228+'DOE25'!L241+'DOE25'!L246+'DOE25'!L284+'DOE25'!L289+'DOE25'!L303+'DOE25'!L308+'DOE25'!L322+'DOE25'!L327,0)</f>
        <v>127590</v>
      </c>
      <c r="D17" s="182">
        <f t="shared" si="0"/>
        <v>6.7</v>
      </c>
    </row>
    <row r="18" spans="1:4" x14ac:dyDescent="0.2">
      <c r="A18">
        <v>2400</v>
      </c>
      <c r="B18" t="s">
        <v>711</v>
      </c>
      <c r="C18" s="179">
        <f>ROUND('DOE25'!L206+'DOE25'!L224+'DOE25'!L242+'DOE25'!L285+'DOE25'!L304+'DOE25'!L323,0)</f>
        <v>193032</v>
      </c>
      <c r="D18" s="182">
        <f t="shared" si="0"/>
        <v>10.1</v>
      </c>
    </row>
    <row r="19" spans="1:4" x14ac:dyDescent="0.2">
      <c r="A19">
        <v>2500</v>
      </c>
      <c r="B19" t="s">
        <v>708</v>
      </c>
      <c r="C19" s="179">
        <f>ROUND('DOE25'!L207+'DOE25'!L225+'DOE25'!L243+'DOE25'!L286+'DOE25'!L305+'DOE25'!L324,0)</f>
        <v>2940</v>
      </c>
      <c r="D19" s="182">
        <f t="shared" si="0"/>
        <v>0.2</v>
      </c>
    </row>
    <row r="20" spans="1:4" x14ac:dyDescent="0.2">
      <c r="A20">
        <v>2600</v>
      </c>
      <c r="B20" t="s">
        <v>709</v>
      </c>
      <c r="C20" s="179">
        <f>ROUND('DOE25'!L208+'DOE25'!L226+'DOE25'!L244+'DOE25'!L287+'DOE25'!L306+'DOE25'!L325,0)</f>
        <v>106826</v>
      </c>
      <c r="D20" s="182">
        <f t="shared" si="0"/>
        <v>5.6</v>
      </c>
    </row>
    <row r="21" spans="1:4" x14ac:dyDescent="0.2">
      <c r="A21">
        <v>2700</v>
      </c>
      <c r="B21" t="s">
        <v>710</v>
      </c>
      <c r="C21" s="179">
        <f>ROUND('DOE25'!L209+'DOE25'!L227+'DOE25'!L245+'DOE25'!L288+'DOE25'!L307+'DOE25'!L326,0)</f>
        <v>111087</v>
      </c>
      <c r="D21" s="182">
        <f t="shared" si="0"/>
        <v>5.8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32513</v>
      </c>
      <c r="D25" s="182">
        <f t="shared" si="0"/>
        <v>1.7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7861</v>
      </c>
      <c r="D27" s="182">
        <f t="shared" si="0"/>
        <v>0.4</v>
      </c>
    </row>
    <row r="28" spans="1:4" x14ac:dyDescent="0.2">
      <c r="B28" s="187" t="s">
        <v>719</v>
      </c>
      <c r="C28" s="180">
        <f>SUM(C10:C27)</f>
        <v>1917015</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1917015</v>
      </c>
    </row>
    <row r="31" spans="1:4" x14ac:dyDescent="0.2">
      <c r="B31" s="33"/>
      <c r="C31" s="180"/>
    </row>
    <row r="32" spans="1:4" x14ac:dyDescent="0.2">
      <c r="A32">
        <v>5100</v>
      </c>
      <c r="B32" s="33" t="s">
        <v>726</v>
      </c>
      <c r="C32" s="180">
        <f>ROUND('DOE25'!L261+'DOE25'!L342,0)</f>
        <v>85000</v>
      </c>
    </row>
    <row r="34" spans="1:4" x14ac:dyDescent="0.2">
      <c r="A34" s="187" t="s">
        <v>94</v>
      </c>
      <c r="B34" s="188" t="s">
        <v>1667</v>
      </c>
      <c r="C34" s="181" t="s">
        <v>720</v>
      </c>
      <c r="D34" s="181" t="s">
        <v>721</v>
      </c>
    </row>
    <row r="35" spans="1:4" x14ac:dyDescent="0.2">
      <c r="A35">
        <v>1100</v>
      </c>
      <c r="B35" s="185" t="s">
        <v>727</v>
      </c>
      <c r="C35" s="179">
        <f>ROUND('DOE25'!F60+'DOE25'!G60+'DOE25'!H60+'DOE25'!I60+'DOE25'!J60,0)</f>
        <v>856216</v>
      </c>
      <c r="D35" s="182">
        <f t="shared" ref="D35:D40" si="1">ROUND((C35/$C$41)*100,1)</f>
        <v>43.7</v>
      </c>
    </row>
    <row r="36" spans="1:4" x14ac:dyDescent="0.2">
      <c r="B36" s="185" t="s">
        <v>739</v>
      </c>
      <c r="C36" s="179">
        <f>SUM('DOE25'!F112:J112)-SUM('DOE25'!G97:G110)+('DOE25'!F175+'DOE25'!F176+'DOE25'!I175+'DOE25'!I176)-C35</f>
        <v>613770.31000000006</v>
      </c>
      <c r="D36" s="182">
        <f t="shared" si="1"/>
        <v>31.3</v>
      </c>
    </row>
    <row r="37" spans="1:4" x14ac:dyDescent="0.2">
      <c r="A37" s="183" t="s">
        <v>835</v>
      </c>
      <c r="B37" s="185" t="s">
        <v>728</v>
      </c>
      <c r="C37" s="179">
        <f>ROUND('DOE25'!F117+'DOE25'!F118,0)</f>
        <v>402769</v>
      </c>
      <c r="D37" s="182">
        <f t="shared" si="1"/>
        <v>20.5</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88494</v>
      </c>
      <c r="D39" s="182">
        <f t="shared" si="1"/>
        <v>4.5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1961249.31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Nelson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t="s">
        <v>1674</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2021-08-25T19:12:49Z</cp:lastPrinted>
  <dcterms:created xsi:type="dcterms:W3CDTF">1997-12-04T19:04:30Z</dcterms:created>
  <dcterms:modified xsi:type="dcterms:W3CDTF">2021-10-01T16:50:03Z</dcterms:modified>
</cp:coreProperties>
</file>